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koenker\Dropbox\DM Package - Oct 2 2015\French Translation\batch 2 - 1. files\"/>
    </mc:Choice>
  </mc:AlternateContent>
  <bookViews>
    <workbookView xWindow="555" yWindow="555" windowWidth="25035" windowHeight="13635" tabRatio="715" activeTab="3"/>
  </bookViews>
  <sheets>
    <sheet name="Résumé" sheetId="14" r:id="rId1"/>
    <sheet name="Budg surv dur - 1 éq + ATCD" sheetId="12" r:id="rId2"/>
    <sheet name="Budg surv dur - 2 éq + ATCD" sheetId="13" r:id="rId3"/>
    <sheet name="Budg surv dur - 2 éq sans ATCD" sheetId="15" r:id="rId4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2" i="15" l="1"/>
  <c r="G92" i="15"/>
  <c r="G94" i="15"/>
  <c r="O31" i="14"/>
  <c r="I92" i="15"/>
  <c r="J92" i="15"/>
  <c r="J94" i="15"/>
  <c r="P31" i="14"/>
  <c r="L92" i="15"/>
  <c r="M92" i="15"/>
  <c r="M94" i="15"/>
  <c r="Q31" i="14"/>
  <c r="O92" i="15"/>
  <c r="P92" i="15"/>
  <c r="P94" i="15"/>
  <c r="R31" i="14"/>
  <c r="S31" i="14"/>
  <c r="E87" i="13"/>
  <c r="G87" i="13"/>
  <c r="G89" i="13"/>
  <c r="I31" i="14"/>
  <c r="I87" i="13"/>
  <c r="J87" i="13"/>
  <c r="J89" i="13"/>
  <c r="J31" i="14"/>
  <c r="L87" i="13"/>
  <c r="M87" i="13"/>
  <c r="M89" i="13"/>
  <c r="K31" i="14"/>
  <c r="O87" i="13"/>
  <c r="P87" i="13"/>
  <c r="P89" i="13"/>
  <c r="L31" i="14"/>
  <c r="M31" i="14"/>
  <c r="E87" i="12"/>
  <c r="G87" i="12"/>
  <c r="G89" i="12"/>
  <c r="C31" i="14"/>
  <c r="I87" i="12"/>
  <c r="J87" i="12"/>
  <c r="J89" i="12"/>
  <c r="D31" i="14"/>
  <c r="L87" i="12"/>
  <c r="M87" i="12"/>
  <c r="M89" i="12"/>
  <c r="E31" i="14"/>
  <c r="O87" i="12"/>
  <c r="P87" i="12"/>
  <c r="P89" i="12"/>
  <c r="F31" i="14"/>
  <c r="G31" i="14"/>
  <c r="G20" i="15"/>
  <c r="G21" i="15"/>
  <c r="G22" i="15"/>
  <c r="G23" i="15"/>
  <c r="G24" i="15"/>
  <c r="G25" i="15"/>
  <c r="G27" i="15"/>
  <c r="F44" i="15"/>
  <c r="E44" i="15"/>
  <c r="G44" i="15"/>
  <c r="G47" i="15"/>
  <c r="O20" i="14"/>
  <c r="O15" i="14"/>
  <c r="G35" i="15"/>
  <c r="G36" i="15"/>
  <c r="E37" i="15"/>
  <c r="G37" i="15"/>
  <c r="G39" i="15"/>
  <c r="O16" i="14"/>
  <c r="O17" i="14"/>
  <c r="G100" i="15"/>
  <c r="G102" i="15"/>
  <c r="G104" i="15"/>
  <c r="O34" i="14"/>
  <c r="G108" i="15"/>
  <c r="G110" i="15"/>
  <c r="E112" i="15"/>
  <c r="G112" i="15"/>
  <c r="G114" i="15"/>
  <c r="O35" i="14"/>
  <c r="O36" i="14"/>
  <c r="G54" i="15"/>
  <c r="G55" i="15"/>
  <c r="G56" i="15"/>
  <c r="G58" i="15"/>
  <c r="G59" i="15"/>
  <c r="G60" i="15"/>
  <c r="G62" i="15"/>
  <c r="G63" i="15"/>
  <c r="G64" i="15"/>
  <c r="G66" i="15"/>
  <c r="O23" i="14"/>
  <c r="G71" i="15"/>
  <c r="G73" i="15"/>
  <c r="G75" i="15"/>
  <c r="E77" i="15"/>
  <c r="G77" i="15"/>
  <c r="E78" i="15"/>
  <c r="G78" i="15"/>
  <c r="E79" i="15"/>
  <c r="G79" i="15"/>
  <c r="G81" i="15"/>
  <c r="O24" i="14"/>
  <c r="O25" i="14"/>
  <c r="G125" i="15"/>
  <c r="G126" i="15"/>
  <c r="G128" i="15"/>
  <c r="F129" i="15"/>
  <c r="G129" i="15"/>
  <c r="G131" i="15"/>
  <c r="G132" i="15"/>
  <c r="G134" i="15"/>
  <c r="G135" i="15"/>
  <c r="E139" i="15"/>
  <c r="G139" i="15"/>
  <c r="E140" i="15"/>
  <c r="G140" i="15"/>
  <c r="E141" i="15"/>
  <c r="G141" i="15"/>
  <c r="G143" i="15"/>
  <c r="E144" i="15"/>
  <c r="G144" i="15"/>
  <c r="E145" i="15"/>
  <c r="G145" i="15"/>
  <c r="E146" i="15"/>
  <c r="G146" i="15"/>
  <c r="E150" i="15"/>
  <c r="G150" i="15"/>
  <c r="E151" i="15"/>
  <c r="G151" i="15"/>
  <c r="E152" i="15"/>
  <c r="G152" i="15"/>
  <c r="E154" i="15"/>
  <c r="G154" i="15"/>
  <c r="E155" i="15"/>
  <c r="G155" i="15"/>
  <c r="G156" i="15"/>
  <c r="G158" i="15"/>
  <c r="G160" i="15"/>
  <c r="O41" i="14"/>
  <c r="G86" i="15"/>
  <c r="G88" i="15"/>
  <c r="O28" i="14"/>
  <c r="O43" i="14"/>
  <c r="G41" i="15"/>
  <c r="G116" i="15"/>
  <c r="G118" i="15"/>
  <c r="G83" i="15"/>
  <c r="G162" i="15"/>
  <c r="C165" i="15"/>
  <c r="G165" i="15"/>
  <c r="O46" i="14"/>
  <c r="O49" i="14"/>
  <c r="I20" i="15"/>
  <c r="J20" i="15"/>
  <c r="I22" i="15"/>
  <c r="J22" i="15"/>
  <c r="I21" i="15"/>
  <c r="J21" i="15"/>
  <c r="I23" i="15"/>
  <c r="J23" i="15"/>
  <c r="I24" i="15"/>
  <c r="J24" i="15"/>
  <c r="I25" i="15"/>
  <c r="J25" i="15"/>
  <c r="J27" i="15"/>
  <c r="I44" i="15"/>
  <c r="H44" i="15"/>
  <c r="J44" i="15"/>
  <c r="J47" i="15"/>
  <c r="P20" i="14"/>
  <c r="P15" i="14"/>
  <c r="I35" i="15"/>
  <c r="J35" i="15"/>
  <c r="I36" i="15"/>
  <c r="J36" i="15"/>
  <c r="H37" i="15"/>
  <c r="I37" i="15"/>
  <c r="J37" i="15"/>
  <c r="J39" i="15"/>
  <c r="P16" i="14"/>
  <c r="P17" i="14"/>
  <c r="I100" i="15"/>
  <c r="J100" i="15"/>
  <c r="I102" i="15"/>
  <c r="J102" i="15"/>
  <c r="J104" i="15"/>
  <c r="P34" i="14"/>
  <c r="I108" i="15"/>
  <c r="J108" i="15"/>
  <c r="I110" i="15"/>
  <c r="J110" i="15"/>
  <c r="H112" i="15"/>
  <c r="I112" i="15"/>
  <c r="J112" i="15"/>
  <c r="J114" i="15"/>
  <c r="P35" i="14"/>
  <c r="P36" i="14"/>
  <c r="I125" i="15"/>
  <c r="J125" i="15"/>
  <c r="J126" i="15"/>
  <c r="J128" i="15"/>
  <c r="J129" i="15"/>
  <c r="J131" i="15"/>
  <c r="J132" i="15"/>
  <c r="J133" i="15"/>
  <c r="I134" i="15"/>
  <c r="J134" i="15"/>
  <c r="I135" i="15"/>
  <c r="J135" i="15"/>
  <c r="H139" i="15"/>
  <c r="I139" i="15"/>
  <c r="J139" i="15"/>
  <c r="H140" i="15"/>
  <c r="I140" i="15"/>
  <c r="J140" i="15"/>
  <c r="H141" i="15"/>
  <c r="I141" i="15"/>
  <c r="J141" i="15"/>
  <c r="I143" i="15"/>
  <c r="J143" i="15"/>
  <c r="H144" i="15"/>
  <c r="I144" i="15"/>
  <c r="J144" i="15"/>
  <c r="H145" i="15"/>
  <c r="I145" i="15"/>
  <c r="J145" i="15"/>
  <c r="H146" i="15"/>
  <c r="I146" i="15"/>
  <c r="J146" i="15"/>
  <c r="H150" i="15"/>
  <c r="I150" i="15"/>
  <c r="J150" i="15"/>
  <c r="H151" i="15"/>
  <c r="I151" i="15"/>
  <c r="J151" i="15"/>
  <c r="H152" i="15"/>
  <c r="I152" i="15"/>
  <c r="J152" i="15"/>
  <c r="H154" i="15"/>
  <c r="I154" i="15"/>
  <c r="J154" i="15"/>
  <c r="H155" i="15"/>
  <c r="I155" i="15"/>
  <c r="J155" i="15"/>
  <c r="I156" i="15"/>
  <c r="J156" i="15"/>
  <c r="J158" i="15"/>
  <c r="J160" i="15"/>
  <c r="P41" i="14"/>
  <c r="I86" i="15"/>
  <c r="J86" i="15"/>
  <c r="J88" i="15"/>
  <c r="P28" i="14"/>
  <c r="I54" i="15"/>
  <c r="J54" i="15"/>
  <c r="I55" i="15"/>
  <c r="J55" i="15"/>
  <c r="I56" i="15"/>
  <c r="J56" i="15"/>
  <c r="I58" i="15"/>
  <c r="J58" i="15"/>
  <c r="I59" i="15"/>
  <c r="J59" i="15"/>
  <c r="I60" i="15"/>
  <c r="J60" i="15"/>
  <c r="I62" i="15"/>
  <c r="J62" i="15"/>
  <c r="I63" i="15"/>
  <c r="J63" i="15"/>
  <c r="I64" i="15"/>
  <c r="J64" i="15"/>
  <c r="J66" i="15"/>
  <c r="P23" i="14"/>
  <c r="I71" i="15"/>
  <c r="J71" i="15"/>
  <c r="I73" i="15"/>
  <c r="J73" i="15"/>
  <c r="I75" i="15"/>
  <c r="J75" i="15"/>
  <c r="H77" i="15"/>
  <c r="I77" i="15"/>
  <c r="J77" i="15"/>
  <c r="H78" i="15"/>
  <c r="I78" i="15"/>
  <c r="J78" i="15"/>
  <c r="H79" i="15"/>
  <c r="I79" i="15"/>
  <c r="J79" i="15"/>
  <c r="J81" i="15"/>
  <c r="P24" i="14"/>
  <c r="P25" i="14"/>
  <c r="P43" i="14"/>
  <c r="J41" i="15"/>
  <c r="J116" i="15"/>
  <c r="J118" i="15"/>
  <c r="J83" i="15"/>
  <c r="J162" i="15"/>
  <c r="J165" i="15"/>
  <c r="P46" i="14"/>
  <c r="P49" i="14"/>
  <c r="L20" i="15"/>
  <c r="M20" i="15"/>
  <c r="L21" i="15"/>
  <c r="M21" i="15"/>
  <c r="L22" i="15"/>
  <c r="M22" i="15"/>
  <c r="L23" i="15"/>
  <c r="M23" i="15"/>
  <c r="L24" i="15"/>
  <c r="M24" i="15"/>
  <c r="L25" i="15"/>
  <c r="M25" i="15"/>
  <c r="M27" i="15"/>
  <c r="L44" i="15"/>
  <c r="K44" i="15"/>
  <c r="M44" i="15"/>
  <c r="M47" i="15"/>
  <c r="Q20" i="14"/>
  <c r="Q15" i="14"/>
  <c r="L35" i="15"/>
  <c r="M35" i="15"/>
  <c r="L36" i="15"/>
  <c r="M36" i="15"/>
  <c r="K37" i="15"/>
  <c r="L37" i="15"/>
  <c r="M37" i="15"/>
  <c r="M39" i="15"/>
  <c r="Q16" i="14"/>
  <c r="Q17" i="14"/>
  <c r="L100" i="15"/>
  <c r="M100" i="15"/>
  <c r="L102" i="15"/>
  <c r="M102" i="15"/>
  <c r="M104" i="15"/>
  <c r="Q34" i="14"/>
  <c r="L108" i="15"/>
  <c r="M108" i="15"/>
  <c r="L110" i="15"/>
  <c r="M110" i="15"/>
  <c r="K112" i="15"/>
  <c r="L112" i="15"/>
  <c r="M112" i="15"/>
  <c r="M114" i="15"/>
  <c r="Q35" i="14"/>
  <c r="Q36" i="14"/>
  <c r="L125" i="15"/>
  <c r="M125" i="15"/>
  <c r="L126" i="15"/>
  <c r="M126" i="15"/>
  <c r="L128" i="15"/>
  <c r="M128" i="15"/>
  <c r="L129" i="15"/>
  <c r="M129" i="15"/>
  <c r="L131" i="15"/>
  <c r="M131" i="15"/>
  <c r="L132" i="15"/>
  <c r="M132" i="15"/>
  <c r="L133" i="15"/>
  <c r="M133" i="15"/>
  <c r="L134" i="15"/>
  <c r="M134" i="15"/>
  <c r="L135" i="15"/>
  <c r="M135" i="15"/>
  <c r="K139" i="15"/>
  <c r="L139" i="15"/>
  <c r="M139" i="15"/>
  <c r="K140" i="15"/>
  <c r="L140" i="15"/>
  <c r="M140" i="15"/>
  <c r="K141" i="15"/>
  <c r="L141" i="15"/>
  <c r="M141" i="15"/>
  <c r="L143" i="15"/>
  <c r="M143" i="15"/>
  <c r="K144" i="15"/>
  <c r="L144" i="15"/>
  <c r="M144" i="15"/>
  <c r="K145" i="15"/>
  <c r="L145" i="15"/>
  <c r="M145" i="15"/>
  <c r="K146" i="15"/>
  <c r="L146" i="15"/>
  <c r="M146" i="15"/>
  <c r="K150" i="15"/>
  <c r="L150" i="15"/>
  <c r="M150" i="15"/>
  <c r="K151" i="15"/>
  <c r="L151" i="15"/>
  <c r="M151" i="15"/>
  <c r="K152" i="15"/>
  <c r="L152" i="15"/>
  <c r="M152" i="15"/>
  <c r="K154" i="15"/>
  <c r="L154" i="15"/>
  <c r="M154" i="15"/>
  <c r="K155" i="15"/>
  <c r="L155" i="15"/>
  <c r="M155" i="15"/>
  <c r="L156" i="15"/>
  <c r="M156" i="15"/>
  <c r="M158" i="15"/>
  <c r="M160" i="15"/>
  <c r="Q41" i="14"/>
  <c r="L86" i="15"/>
  <c r="M86" i="15"/>
  <c r="M88" i="15"/>
  <c r="Q28" i="14"/>
  <c r="L54" i="15"/>
  <c r="M54" i="15"/>
  <c r="L55" i="15"/>
  <c r="M55" i="15"/>
  <c r="L56" i="15"/>
  <c r="M56" i="15"/>
  <c r="L58" i="15"/>
  <c r="M58" i="15"/>
  <c r="L59" i="15"/>
  <c r="M59" i="15"/>
  <c r="L60" i="15"/>
  <c r="M60" i="15"/>
  <c r="L62" i="15"/>
  <c r="M62" i="15"/>
  <c r="L63" i="15"/>
  <c r="M63" i="15"/>
  <c r="L64" i="15"/>
  <c r="M64" i="15"/>
  <c r="M66" i="15"/>
  <c r="Q23" i="14"/>
  <c r="L71" i="15"/>
  <c r="M71" i="15"/>
  <c r="L73" i="15"/>
  <c r="M73" i="15"/>
  <c r="L75" i="15"/>
  <c r="M75" i="15"/>
  <c r="K77" i="15"/>
  <c r="L77" i="15"/>
  <c r="M77" i="15"/>
  <c r="K78" i="15"/>
  <c r="L78" i="15"/>
  <c r="M78" i="15"/>
  <c r="K79" i="15"/>
  <c r="L79" i="15"/>
  <c r="M79" i="15"/>
  <c r="M81" i="15"/>
  <c r="Q24" i="14"/>
  <c r="Q25" i="14"/>
  <c r="Q43" i="14"/>
  <c r="M41" i="15"/>
  <c r="M116" i="15"/>
  <c r="M118" i="15"/>
  <c r="M83" i="15"/>
  <c r="M162" i="15"/>
  <c r="M165" i="15"/>
  <c r="Q46" i="14"/>
  <c r="Q49" i="14"/>
  <c r="O20" i="15"/>
  <c r="P20" i="15"/>
  <c r="O21" i="15"/>
  <c r="P21" i="15"/>
  <c r="O22" i="15"/>
  <c r="P22" i="15"/>
  <c r="O23" i="15"/>
  <c r="P23" i="15"/>
  <c r="O24" i="15"/>
  <c r="P24" i="15"/>
  <c r="O25" i="15"/>
  <c r="P25" i="15"/>
  <c r="P27" i="15"/>
  <c r="O44" i="15"/>
  <c r="N44" i="15"/>
  <c r="P44" i="15"/>
  <c r="P47" i="15"/>
  <c r="R20" i="14"/>
  <c r="R15" i="14"/>
  <c r="O35" i="15"/>
  <c r="P35" i="15"/>
  <c r="O36" i="15"/>
  <c r="P36" i="15"/>
  <c r="N37" i="15"/>
  <c r="O37" i="15"/>
  <c r="P37" i="15"/>
  <c r="P39" i="15"/>
  <c r="R16" i="14"/>
  <c r="R17" i="14"/>
  <c r="O58" i="15"/>
  <c r="P58" i="15"/>
  <c r="O54" i="15"/>
  <c r="P54" i="15"/>
  <c r="O55" i="15"/>
  <c r="P55" i="15"/>
  <c r="O56" i="15"/>
  <c r="P56" i="15"/>
  <c r="O59" i="15"/>
  <c r="P59" i="15"/>
  <c r="O60" i="15"/>
  <c r="P60" i="15"/>
  <c r="O62" i="15"/>
  <c r="P62" i="15"/>
  <c r="O63" i="15"/>
  <c r="P63" i="15"/>
  <c r="O64" i="15"/>
  <c r="P64" i="15"/>
  <c r="P66" i="15"/>
  <c r="R23" i="14"/>
  <c r="O71" i="15"/>
  <c r="P71" i="15"/>
  <c r="O73" i="15"/>
  <c r="P73" i="15"/>
  <c r="O75" i="15"/>
  <c r="P75" i="15"/>
  <c r="N77" i="15"/>
  <c r="O77" i="15"/>
  <c r="P77" i="15"/>
  <c r="N78" i="15"/>
  <c r="O78" i="15"/>
  <c r="P78" i="15"/>
  <c r="N79" i="15"/>
  <c r="O79" i="15"/>
  <c r="P79" i="15"/>
  <c r="P81" i="15"/>
  <c r="R24" i="14"/>
  <c r="R25" i="14"/>
  <c r="O100" i="15"/>
  <c r="P100" i="15"/>
  <c r="O102" i="15"/>
  <c r="P102" i="15"/>
  <c r="P104" i="15"/>
  <c r="R34" i="14"/>
  <c r="O108" i="15"/>
  <c r="P108" i="15"/>
  <c r="O110" i="15"/>
  <c r="P110" i="15"/>
  <c r="N112" i="15"/>
  <c r="O112" i="15"/>
  <c r="P112" i="15"/>
  <c r="P114" i="15"/>
  <c r="R35" i="14"/>
  <c r="R36" i="14"/>
  <c r="O125" i="15"/>
  <c r="P125" i="15"/>
  <c r="O126" i="15"/>
  <c r="P126" i="15"/>
  <c r="O128" i="15"/>
  <c r="P128" i="15"/>
  <c r="O129" i="15"/>
  <c r="P129" i="15"/>
  <c r="O131" i="15"/>
  <c r="P131" i="15"/>
  <c r="O132" i="15"/>
  <c r="P132" i="15"/>
  <c r="O134" i="15"/>
  <c r="P134" i="15"/>
  <c r="O135" i="15"/>
  <c r="P135" i="15"/>
  <c r="N139" i="15"/>
  <c r="O139" i="15"/>
  <c r="P139" i="15"/>
  <c r="N140" i="15"/>
  <c r="O140" i="15"/>
  <c r="P140" i="15"/>
  <c r="N141" i="15"/>
  <c r="O141" i="15"/>
  <c r="P141" i="15"/>
  <c r="O143" i="15"/>
  <c r="P143" i="15"/>
  <c r="N144" i="15"/>
  <c r="O144" i="15"/>
  <c r="P144" i="15"/>
  <c r="N145" i="15"/>
  <c r="O145" i="15"/>
  <c r="P145" i="15"/>
  <c r="N146" i="15"/>
  <c r="O146" i="15"/>
  <c r="P146" i="15"/>
  <c r="N150" i="15"/>
  <c r="O150" i="15"/>
  <c r="P150" i="15"/>
  <c r="N151" i="15"/>
  <c r="O151" i="15"/>
  <c r="P151" i="15"/>
  <c r="N152" i="15"/>
  <c r="O152" i="15"/>
  <c r="P152" i="15"/>
  <c r="N154" i="15"/>
  <c r="O154" i="15"/>
  <c r="P154" i="15"/>
  <c r="N155" i="15"/>
  <c r="O155" i="15"/>
  <c r="P155" i="15"/>
  <c r="O156" i="15"/>
  <c r="P156" i="15"/>
  <c r="P158" i="15"/>
  <c r="P160" i="15"/>
  <c r="R41" i="14"/>
  <c r="O86" i="15"/>
  <c r="P86" i="15"/>
  <c r="P88" i="15"/>
  <c r="R28" i="14"/>
  <c r="R43" i="14"/>
  <c r="P41" i="15"/>
  <c r="P83" i="15"/>
  <c r="P116" i="15"/>
  <c r="P118" i="15"/>
  <c r="P162" i="15"/>
  <c r="P165" i="15"/>
  <c r="R46" i="14"/>
  <c r="R49" i="14"/>
  <c r="S49" i="14"/>
  <c r="R20" i="15"/>
  <c r="R21" i="15"/>
  <c r="R22" i="15"/>
  <c r="R23" i="15"/>
  <c r="R24" i="15"/>
  <c r="R25" i="15"/>
  <c r="R27" i="15"/>
  <c r="R35" i="15"/>
  <c r="R36" i="15"/>
  <c r="R37" i="15"/>
  <c r="R39" i="15"/>
  <c r="R41" i="15"/>
  <c r="R44" i="15"/>
  <c r="R47" i="15"/>
  <c r="R100" i="15"/>
  <c r="R102" i="15"/>
  <c r="R104" i="15"/>
  <c r="R108" i="15"/>
  <c r="R110" i="15"/>
  <c r="R112" i="15"/>
  <c r="R114" i="15"/>
  <c r="R116" i="15"/>
  <c r="R118" i="15"/>
  <c r="R54" i="15"/>
  <c r="R55" i="15"/>
  <c r="R56" i="15"/>
  <c r="R58" i="15"/>
  <c r="R59" i="15"/>
  <c r="R60" i="15"/>
  <c r="R62" i="15"/>
  <c r="R63" i="15"/>
  <c r="R64" i="15"/>
  <c r="R66" i="15"/>
  <c r="R71" i="15"/>
  <c r="R73" i="15"/>
  <c r="R75" i="15"/>
  <c r="R77" i="15"/>
  <c r="R78" i="15"/>
  <c r="R79" i="15"/>
  <c r="R81" i="15"/>
  <c r="R83" i="15"/>
  <c r="R92" i="15"/>
  <c r="R94" i="15"/>
  <c r="R86" i="15"/>
  <c r="R88" i="15"/>
  <c r="R158" i="15"/>
  <c r="R160" i="15"/>
  <c r="R162" i="15"/>
  <c r="R165" i="15"/>
  <c r="R168" i="15"/>
  <c r="S52" i="14"/>
  <c r="P168" i="15"/>
  <c r="R52" i="14"/>
  <c r="M168" i="15"/>
  <c r="Q52" i="14"/>
  <c r="J168" i="15"/>
  <c r="P52" i="14"/>
  <c r="G168" i="15"/>
  <c r="O52" i="14"/>
  <c r="G34" i="15"/>
  <c r="I34" i="15"/>
  <c r="J34" i="15"/>
  <c r="L34" i="15"/>
  <c r="M34" i="15"/>
  <c r="O34" i="15"/>
  <c r="P34" i="15"/>
  <c r="R34" i="15"/>
  <c r="Q34" i="15"/>
  <c r="G33" i="15"/>
  <c r="I33" i="15"/>
  <c r="J33" i="15"/>
  <c r="L33" i="15"/>
  <c r="M33" i="15"/>
  <c r="O33" i="15"/>
  <c r="P33" i="15"/>
  <c r="R33" i="15"/>
  <c r="Q33" i="15"/>
  <c r="E32" i="15"/>
  <c r="G32" i="15"/>
  <c r="H32" i="15"/>
  <c r="I32" i="15"/>
  <c r="J32" i="15"/>
  <c r="K32" i="15"/>
  <c r="L32" i="15"/>
  <c r="M32" i="15"/>
  <c r="N32" i="15"/>
  <c r="O32" i="15"/>
  <c r="P32" i="15"/>
  <c r="R32" i="15"/>
  <c r="Q32" i="15"/>
  <c r="G31" i="15"/>
  <c r="I31" i="15"/>
  <c r="J31" i="15"/>
  <c r="L31" i="15"/>
  <c r="M31" i="15"/>
  <c r="O31" i="15"/>
  <c r="P31" i="15"/>
  <c r="R31" i="15"/>
  <c r="Q31" i="15"/>
  <c r="G30" i="15"/>
  <c r="I30" i="15"/>
  <c r="J30" i="15"/>
  <c r="L30" i="15"/>
  <c r="M30" i="15"/>
  <c r="O30" i="15"/>
  <c r="P30" i="15"/>
  <c r="R30" i="15"/>
  <c r="Q30" i="15"/>
  <c r="S168" i="15"/>
  <c r="S165" i="15"/>
  <c r="S162" i="15"/>
  <c r="R125" i="15"/>
  <c r="R126" i="15"/>
  <c r="R128" i="15"/>
  <c r="R129" i="15"/>
  <c r="R131" i="15"/>
  <c r="R132" i="15"/>
  <c r="R134" i="15"/>
  <c r="R135" i="15"/>
  <c r="R139" i="15"/>
  <c r="R140" i="15"/>
  <c r="R141" i="15"/>
  <c r="R143" i="15"/>
  <c r="R144" i="15"/>
  <c r="R145" i="15"/>
  <c r="R146" i="15"/>
  <c r="R150" i="15"/>
  <c r="R151" i="15"/>
  <c r="R152" i="15"/>
  <c r="R154" i="15"/>
  <c r="R155" i="15"/>
  <c r="R156" i="15"/>
  <c r="S158" i="15"/>
  <c r="Q156" i="15"/>
  <c r="Q155" i="15"/>
  <c r="Q154" i="15"/>
  <c r="Q152" i="15"/>
  <c r="Q151" i="15"/>
  <c r="Q150" i="15"/>
  <c r="Q146" i="15"/>
  <c r="Q145" i="15"/>
  <c r="Q144" i="15"/>
  <c r="Q143" i="15"/>
  <c r="Q141" i="15"/>
  <c r="Q140" i="15"/>
  <c r="Q139" i="15"/>
  <c r="Q135" i="15"/>
  <c r="Q134" i="15"/>
  <c r="O133" i="15"/>
  <c r="Q132" i="15"/>
  <c r="Q131" i="15"/>
  <c r="Q129" i="15"/>
  <c r="Q128" i="15"/>
  <c r="Q126" i="15"/>
  <c r="Q125" i="15"/>
  <c r="S118" i="15"/>
  <c r="E104" i="15"/>
  <c r="H104" i="15"/>
  <c r="K104" i="15"/>
  <c r="N104" i="15"/>
  <c r="Q104" i="15"/>
  <c r="Q108" i="15"/>
  <c r="Q110" i="15"/>
  <c r="Q112" i="15"/>
  <c r="Q114" i="15"/>
  <c r="Q116" i="15"/>
  <c r="N114" i="15"/>
  <c r="N116" i="15"/>
  <c r="K114" i="15"/>
  <c r="K116" i="15"/>
  <c r="H114" i="15"/>
  <c r="H116" i="15"/>
  <c r="E114" i="15"/>
  <c r="E116" i="15"/>
  <c r="Q102" i="15"/>
  <c r="Q100" i="15"/>
  <c r="Q92" i="15"/>
  <c r="Q86" i="15"/>
  <c r="Q79" i="15"/>
  <c r="Q78" i="15"/>
  <c r="Q77" i="15"/>
  <c r="Q75" i="15"/>
  <c r="Q73" i="15"/>
  <c r="Q71" i="15"/>
  <c r="Q64" i="15"/>
  <c r="Q63" i="15"/>
  <c r="Q62" i="15"/>
  <c r="Q60" i="15"/>
  <c r="Q59" i="15"/>
  <c r="Q58" i="15"/>
  <c r="Q56" i="15"/>
  <c r="Q55" i="15"/>
  <c r="Q54" i="15"/>
  <c r="Q37" i="15"/>
  <c r="Q36" i="15"/>
  <c r="Q35" i="15"/>
  <c r="Q25" i="15"/>
  <c r="Q24" i="15"/>
  <c r="Q23" i="15"/>
  <c r="Q22" i="15"/>
  <c r="Q21" i="15"/>
  <c r="Q20" i="15"/>
  <c r="R3" i="15"/>
  <c r="S46" i="14"/>
  <c r="S43" i="14"/>
  <c r="S41" i="14"/>
  <c r="S34" i="14"/>
  <c r="S35" i="14"/>
  <c r="S36" i="14"/>
  <c r="S28" i="14"/>
  <c r="S23" i="14"/>
  <c r="S24" i="14"/>
  <c r="S25" i="14"/>
  <c r="S20" i="14"/>
  <c r="S16" i="14"/>
  <c r="S15" i="14"/>
  <c r="S17" i="14"/>
  <c r="G95" i="13"/>
  <c r="G97" i="13"/>
  <c r="G99" i="13"/>
  <c r="I34" i="14"/>
  <c r="G103" i="13"/>
  <c r="G105" i="13"/>
  <c r="E107" i="13"/>
  <c r="G107" i="13"/>
  <c r="G109" i="13"/>
  <c r="I35" i="14"/>
  <c r="I36" i="14"/>
  <c r="G120" i="13"/>
  <c r="G121" i="13"/>
  <c r="G123" i="13"/>
  <c r="F124" i="13"/>
  <c r="G124" i="13"/>
  <c r="G126" i="13"/>
  <c r="G127" i="13"/>
  <c r="G129" i="13"/>
  <c r="G130" i="13"/>
  <c r="E134" i="13"/>
  <c r="G134" i="13"/>
  <c r="E135" i="13"/>
  <c r="G135" i="13"/>
  <c r="E136" i="13"/>
  <c r="G136" i="13"/>
  <c r="G138" i="13"/>
  <c r="E139" i="13"/>
  <c r="G139" i="13"/>
  <c r="E140" i="13"/>
  <c r="G140" i="13"/>
  <c r="E141" i="13"/>
  <c r="G141" i="13"/>
  <c r="E145" i="13"/>
  <c r="G145" i="13"/>
  <c r="E146" i="13"/>
  <c r="G146" i="13"/>
  <c r="E147" i="13"/>
  <c r="G147" i="13"/>
  <c r="E149" i="13"/>
  <c r="G149" i="13"/>
  <c r="E150" i="13"/>
  <c r="G150" i="13"/>
  <c r="G151" i="13"/>
  <c r="G153" i="13"/>
  <c r="I41" i="14"/>
  <c r="G81" i="13"/>
  <c r="G83" i="13"/>
  <c r="I28" i="14"/>
  <c r="G49" i="13"/>
  <c r="G50" i="13"/>
  <c r="G51" i="13"/>
  <c r="G53" i="13"/>
  <c r="G54" i="13"/>
  <c r="G55" i="13"/>
  <c r="G57" i="13"/>
  <c r="G58" i="13"/>
  <c r="G59" i="13"/>
  <c r="G61" i="13"/>
  <c r="I23" i="14"/>
  <c r="G66" i="13"/>
  <c r="G68" i="13"/>
  <c r="G70" i="13"/>
  <c r="E72" i="13"/>
  <c r="G72" i="13"/>
  <c r="E73" i="13"/>
  <c r="G73" i="13"/>
  <c r="E74" i="13"/>
  <c r="G74" i="13"/>
  <c r="G76" i="13"/>
  <c r="I24" i="14"/>
  <c r="I25" i="14"/>
  <c r="E39" i="13"/>
  <c r="G20" i="13"/>
  <c r="G21" i="13"/>
  <c r="E22" i="13"/>
  <c r="G22" i="13"/>
  <c r="G23" i="13"/>
  <c r="G24" i="13"/>
  <c r="G25" i="13"/>
  <c r="G27" i="13"/>
  <c r="F39" i="13"/>
  <c r="G39" i="13"/>
  <c r="G42" i="13"/>
  <c r="I20" i="14"/>
  <c r="G30" i="13"/>
  <c r="G31" i="13"/>
  <c r="E32" i="13"/>
  <c r="G32" i="13"/>
  <c r="G34" i="13"/>
  <c r="I16" i="14"/>
  <c r="I15" i="14"/>
  <c r="I17" i="14"/>
  <c r="I43" i="14"/>
  <c r="G36" i="13"/>
  <c r="G78" i="13"/>
  <c r="G111" i="13"/>
  <c r="G113" i="13"/>
  <c r="G155" i="13"/>
  <c r="G157" i="13"/>
  <c r="C160" i="13"/>
  <c r="G160" i="13"/>
  <c r="I46" i="14"/>
  <c r="I49" i="14"/>
  <c r="I95" i="13"/>
  <c r="J95" i="13"/>
  <c r="I97" i="13"/>
  <c r="J97" i="13"/>
  <c r="J99" i="13"/>
  <c r="J34" i="14"/>
  <c r="I103" i="13"/>
  <c r="J103" i="13"/>
  <c r="I105" i="13"/>
  <c r="J105" i="13"/>
  <c r="H107" i="13"/>
  <c r="I107" i="13"/>
  <c r="J107" i="13"/>
  <c r="J109" i="13"/>
  <c r="J35" i="14"/>
  <c r="J36" i="14"/>
  <c r="I120" i="13"/>
  <c r="J120" i="13"/>
  <c r="J121" i="13"/>
  <c r="J123" i="13"/>
  <c r="J124" i="13"/>
  <c r="J126" i="13"/>
  <c r="J127" i="13"/>
  <c r="J128" i="13"/>
  <c r="I129" i="13"/>
  <c r="J129" i="13"/>
  <c r="I130" i="13"/>
  <c r="J130" i="13"/>
  <c r="H134" i="13"/>
  <c r="I134" i="13"/>
  <c r="J134" i="13"/>
  <c r="H135" i="13"/>
  <c r="I135" i="13"/>
  <c r="J135" i="13"/>
  <c r="H136" i="13"/>
  <c r="I136" i="13"/>
  <c r="J136" i="13"/>
  <c r="I138" i="13"/>
  <c r="J138" i="13"/>
  <c r="H139" i="13"/>
  <c r="I139" i="13"/>
  <c r="J139" i="13"/>
  <c r="H140" i="13"/>
  <c r="I140" i="13"/>
  <c r="J140" i="13"/>
  <c r="H141" i="13"/>
  <c r="I141" i="13"/>
  <c r="J141" i="13"/>
  <c r="H145" i="13"/>
  <c r="I145" i="13"/>
  <c r="J145" i="13"/>
  <c r="H146" i="13"/>
  <c r="I146" i="13"/>
  <c r="J146" i="13"/>
  <c r="H147" i="13"/>
  <c r="I147" i="13"/>
  <c r="J147" i="13"/>
  <c r="H149" i="13"/>
  <c r="I149" i="13"/>
  <c r="J149" i="13"/>
  <c r="H150" i="13"/>
  <c r="I150" i="13"/>
  <c r="J150" i="13"/>
  <c r="I151" i="13"/>
  <c r="J151" i="13"/>
  <c r="J153" i="13"/>
  <c r="J41" i="14"/>
  <c r="I81" i="13"/>
  <c r="J81" i="13"/>
  <c r="J83" i="13"/>
  <c r="J28" i="14"/>
  <c r="I49" i="13"/>
  <c r="J49" i="13"/>
  <c r="I50" i="13"/>
  <c r="J50" i="13"/>
  <c r="I51" i="13"/>
  <c r="J51" i="13"/>
  <c r="I53" i="13"/>
  <c r="J53" i="13"/>
  <c r="I54" i="13"/>
  <c r="J54" i="13"/>
  <c r="I55" i="13"/>
  <c r="J55" i="13"/>
  <c r="I57" i="13"/>
  <c r="J57" i="13"/>
  <c r="I58" i="13"/>
  <c r="J58" i="13"/>
  <c r="I59" i="13"/>
  <c r="J59" i="13"/>
  <c r="J61" i="13"/>
  <c r="J23" i="14"/>
  <c r="I66" i="13"/>
  <c r="J66" i="13"/>
  <c r="I68" i="13"/>
  <c r="J68" i="13"/>
  <c r="I70" i="13"/>
  <c r="J70" i="13"/>
  <c r="H72" i="13"/>
  <c r="I72" i="13"/>
  <c r="J72" i="13"/>
  <c r="H73" i="13"/>
  <c r="I73" i="13"/>
  <c r="J73" i="13"/>
  <c r="H74" i="13"/>
  <c r="I74" i="13"/>
  <c r="J74" i="13"/>
  <c r="J76" i="13"/>
  <c r="J24" i="14"/>
  <c r="J25" i="14"/>
  <c r="H39" i="13"/>
  <c r="I20" i="13"/>
  <c r="J20" i="13"/>
  <c r="I21" i="13"/>
  <c r="J21" i="13"/>
  <c r="H22" i="13"/>
  <c r="I22" i="13"/>
  <c r="J22" i="13"/>
  <c r="I23" i="13"/>
  <c r="J23" i="13"/>
  <c r="I24" i="13"/>
  <c r="J24" i="13"/>
  <c r="I25" i="13"/>
  <c r="J25" i="13"/>
  <c r="J27" i="13"/>
  <c r="I39" i="13"/>
  <c r="J39" i="13"/>
  <c r="J42" i="13"/>
  <c r="J20" i="14"/>
  <c r="I30" i="13"/>
  <c r="J30" i="13"/>
  <c r="I31" i="13"/>
  <c r="J31" i="13"/>
  <c r="H32" i="13"/>
  <c r="I32" i="13"/>
  <c r="J32" i="13"/>
  <c r="J34" i="13"/>
  <c r="J16" i="14"/>
  <c r="J15" i="14"/>
  <c r="J17" i="14"/>
  <c r="J43" i="14"/>
  <c r="J36" i="13"/>
  <c r="J78" i="13"/>
  <c r="J111" i="13"/>
  <c r="J113" i="13"/>
  <c r="J155" i="13"/>
  <c r="J157" i="13"/>
  <c r="J160" i="13"/>
  <c r="J46" i="14"/>
  <c r="J49" i="14"/>
  <c r="L95" i="13"/>
  <c r="M95" i="13"/>
  <c r="L97" i="13"/>
  <c r="M97" i="13"/>
  <c r="M99" i="13"/>
  <c r="K34" i="14"/>
  <c r="L103" i="13"/>
  <c r="M103" i="13"/>
  <c r="L105" i="13"/>
  <c r="M105" i="13"/>
  <c r="K107" i="13"/>
  <c r="L107" i="13"/>
  <c r="M107" i="13"/>
  <c r="M109" i="13"/>
  <c r="K35" i="14"/>
  <c r="K36" i="14"/>
  <c r="L120" i="13"/>
  <c r="M120" i="13"/>
  <c r="L121" i="13"/>
  <c r="M121" i="13"/>
  <c r="L123" i="13"/>
  <c r="M123" i="13"/>
  <c r="L124" i="13"/>
  <c r="M124" i="13"/>
  <c r="L126" i="13"/>
  <c r="M126" i="13"/>
  <c r="L127" i="13"/>
  <c r="M127" i="13"/>
  <c r="L128" i="13"/>
  <c r="M128" i="13"/>
  <c r="L129" i="13"/>
  <c r="M129" i="13"/>
  <c r="L130" i="13"/>
  <c r="M130" i="13"/>
  <c r="K134" i="13"/>
  <c r="L134" i="13"/>
  <c r="M134" i="13"/>
  <c r="K135" i="13"/>
  <c r="L135" i="13"/>
  <c r="M135" i="13"/>
  <c r="K136" i="13"/>
  <c r="L136" i="13"/>
  <c r="M136" i="13"/>
  <c r="L138" i="13"/>
  <c r="M138" i="13"/>
  <c r="K139" i="13"/>
  <c r="L139" i="13"/>
  <c r="M139" i="13"/>
  <c r="K140" i="13"/>
  <c r="L140" i="13"/>
  <c r="M140" i="13"/>
  <c r="K141" i="13"/>
  <c r="L141" i="13"/>
  <c r="M141" i="13"/>
  <c r="K145" i="13"/>
  <c r="L145" i="13"/>
  <c r="M145" i="13"/>
  <c r="K146" i="13"/>
  <c r="L146" i="13"/>
  <c r="M146" i="13"/>
  <c r="K147" i="13"/>
  <c r="L147" i="13"/>
  <c r="M147" i="13"/>
  <c r="K149" i="13"/>
  <c r="L149" i="13"/>
  <c r="M149" i="13"/>
  <c r="K150" i="13"/>
  <c r="L150" i="13"/>
  <c r="M150" i="13"/>
  <c r="L151" i="13"/>
  <c r="M151" i="13"/>
  <c r="M153" i="13"/>
  <c r="K41" i="14"/>
  <c r="L81" i="13"/>
  <c r="M81" i="13"/>
  <c r="M83" i="13"/>
  <c r="K28" i="14"/>
  <c r="L49" i="13"/>
  <c r="M49" i="13"/>
  <c r="L50" i="13"/>
  <c r="M50" i="13"/>
  <c r="L51" i="13"/>
  <c r="M51" i="13"/>
  <c r="L53" i="13"/>
  <c r="M53" i="13"/>
  <c r="L54" i="13"/>
  <c r="M54" i="13"/>
  <c r="L55" i="13"/>
  <c r="M55" i="13"/>
  <c r="L57" i="13"/>
  <c r="M57" i="13"/>
  <c r="L58" i="13"/>
  <c r="M58" i="13"/>
  <c r="L59" i="13"/>
  <c r="M59" i="13"/>
  <c r="M61" i="13"/>
  <c r="K23" i="14"/>
  <c r="L66" i="13"/>
  <c r="M66" i="13"/>
  <c r="L68" i="13"/>
  <c r="M68" i="13"/>
  <c r="L70" i="13"/>
  <c r="M70" i="13"/>
  <c r="K72" i="13"/>
  <c r="L72" i="13"/>
  <c r="M72" i="13"/>
  <c r="K73" i="13"/>
  <c r="L73" i="13"/>
  <c r="M73" i="13"/>
  <c r="K74" i="13"/>
  <c r="L74" i="13"/>
  <c r="M74" i="13"/>
  <c r="M76" i="13"/>
  <c r="K24" i="14"/>
  <c r="K25" i="14"/>
  <c r="K39" i="13"/>
  <c r="L20" i="13"/>
  <c r="M20" i="13"/>
  <c r="L21" i="13"/>
  <c r="M21" i="13"/>
  <c r="K22" i="13"/>
  <c r="L22" i="13"/>
  <c r="M22" i="13"/>
  <c r="L23" i="13"/>
  <c r="M23" i="13"/>
  <c r="L24" i="13"/>
  <c r="M24" i="13"/>
  <c r="L25" i="13"/>
  <c r="M25" i="13"/>
  <c r="M27" i="13"/>
  <c r="L39" i="13"/>
  <c r="M39" i="13"/>
  <c r="M42" i="13"/>
  <c r="K20" i="14"/>
  <c r="L30" i="13"/>
  <c r="M30" i="13"/>
  <c r="L31" i="13"/>
  <c r="M31" i="13"/>
  <c r="K32" i="13"/>
  <c r="L32" i="13"/>
  <c r="M32" i="13"/>
  <c r="M34" i="13"/>
  <c r="K16" i="14"/>
  <c r="K15" i="14"/>
  <c r="K17" i="14"/>
  <c r="K43" i="14"/>
  <c r="M36" i="13"/>
  <c r="M78" i="13"/>
  <c r="M111" i="13"/>
  <c r="M113" i="13"/>
  <c r="M155" i="13"/>
  <c r="M157" i="13"/>
  <c r="M160" i="13"/>
  <c r="K46" i="14"/>
  <c r="K49" i="14"/>
  <c r="O95" i="13"/>
  <c r="P95" i="13"/>
  <c r="O97" i="13"/>
  <c r="P97" i="13"/>
  <c r="P99" i="13"/>
  <c r="L34" i="14"/>
  <c r="O103" i="13"/>
  <c r="P103" i="13"/>
  <c r="O105" i="13"/>
  <c r="P105" i="13"/>
  <c r="N107" i="13"/>
  <c r="O107" i="13"/>
  <c r="P107" i="13"/>
  <c r="P109" i="13"/>
  <c r="L35" i="14"/>
  <c r="L36" i="14"/>
  <c r="O120" i="13"/>
  <c r="P120" i="13"/>
  <c r="O121" i="13"/>
  <c r="P121" i="13"/>
  <c r="O123" i="13"/>
  <c r="P123" i="13"/>
  <c r="O124" i="13"/>
  <c r="P124" i="13"/>
  <c r="O126" i="13"/>
  <c r="P126" i="13"/>
  <c r="O127" i="13"/>
  <c r="P127" i="13"/>
  <c r="O129" i="13"/>
  <c r="P129" i="13"/>
  <c r="O130" i="13"/>
  <c r="P130" i="13"/>
  <c r="N134" i="13"/>
  <c r="O134" i="13"/>
  <c r="P134" i="13"/>
  <c r="N135" i="13"/>
  <c r="O135" i="13"/>
  <c r="P135" i="13"/>
  <c r="N136" i="13"/>
  <c r="O136" i="13"/>
  <c r="P136" i="13"/>
  <c r="O138" i="13"/>
  <c r="P138" i="13"/>
  <c r="N139" i="13"/>
  <c r="O139" i="13"/>
  <c r="P139" i="13"/>
  <c r="N140" i="13"/>
  <c r="O140" i="13"/>
  <c r="P140" i="13"/>
  <c r="N141" i="13"/>
  <c r="O141" i="13"/>
  <c r="P141" i="13"/>
  <c r="N145" i="13"/>
  <c r="O145" i="13"/>
  <c r="P145" i="13"/>
  <c r="N146" i="13"/>
  <c r="O146" i="13"/>
  <c r="P146" i="13"/>
  <c r="N147" i="13"/>
  <c r="O147" i="13"/>
  <c r="P147" i="13"/>
  <c r="N149" i="13"/>
  <c r="O149" i="13"/>
  <c r="P149" i="13"/>
  <c r="N150" i="13"/>
  <c r="O150" i="13"/>
  <c r="P150" i="13"/>
  <c r="O151" i="13"/>
  <c r="P151" i="13"/>
  <c r="P153" i="13"/>
  <c r="L41" i="14"/>
  <c r="O81" i="13"/>
  <c r="P81" i="13"/>
  <c r="P83" i="13"/>
  <c r="L28" i="14"/>
  <c r="O49" i="13"/>
  <c r="P49" i="13"/>
  <c r="O50" i="13"/>
  <c r="P50" i="13"/>
  <c r="O51" i="13"/>
  <c r="P51" i="13"/>
  <c r="O53" i="13"/>
  <c r="P53" i="13"/>
  <c r="O54" i="13"/>
  <c r="P54" i="13"/>
  <c r="O55" i="13"/>
  <c r="P55" i="13"/>
  <c r="O57" i="13"/>
  <c r="P57" i="13"/>
  <c r="O58" i="13"/>
  <c r="P58" i="13"/>
  <c r="O59" i="13"/>
  <c r="P59" i="13"/>
  <c r="P61" i="13"/>
  <c r="L23" i="14"/>
  <c r="O66" i="13"/>
  <c r="P66" i="13"/>
  <c r="O68" i="13"/>
  <c r="P68" i="13"/>
  <c r="O70" i="13"/>
  <c r="P70" i="13"/>
  <c r="N72" i="13"/>
  <c r="O72" i="13"/>
  <c r="P72" i="13"/>
  <c r="N73" i="13"/>
  <c r="O73" i="13"/>
  <c r="P73" i="13"/>
  <c r="N74" i="13"/>
  <c r="O74" i="13"/>
  <c r="P74" i="13"/>
  <c r="P76" i="13"/>
  <c r="L24" i="14"/>
  <c r="L25" i="14"/>
  <c r="N39" i="13"/>
  <c r="O20" i="13"/>
  <c r="P20" i="13"/>
  <c r="O21" i="13"/>
  <c r="P21" i="13"/>
  <c r="N22" i="13"/>
  <c r="O22" i="13"/>
  <c r="P22" i="13"/>
  <c r="O23" i="13"/>
  <c r="P23" i="13"/>
  <c r="O24" i="13"/>
  <c r="P24" i="13"/>
  <c r="O25" i="13"/>
  <c r="P25" i="13"/>
  <c r="P27" i="13"/>
  <c r="O39" i="13"/>
  <c r="P39" i="13"/>
  <c r="P42" i="13"/>
  <c r="L20" i="14"/>
  <c r="O30" i="13"/>
  <c r="P30" i="13"/>
  <c r="O31" i="13"/>
  <c r="P31" i="13"/>
  <c r="N32" i="13"/>
  <c r="O32" i="13"/>
  <c r="P32" i="13"/>
  <c r="P34" i="13"/>
  <c r="L16" i="14"/>
  <c r="L15" i="14"/>
  <c r="L17" i="14"/>
  <c r="L43" i="14"/>
  <c r="P36" i="13"/>
  <c r="P78" i="13"/>
  <c r="P111" i="13"/>
  <c r="P113" i="13"/>
  <c r="P155" i="13"/>
  <c r="P157" i="13"/>
  <c r="P160" i="13"/>
  <c r="L46" i="14"/>
  <c r="L49" i="14"/>
  <c r="M49" i="14"/>
  <c r="R87" i="13"/>
  <c r="R89" i="13"/>
  <c r="R30" i="13"/>
  <c r="R31" i="13"/>
  <c r="R32" i="13"/>
  <c r="R34" i="13"/>
  <c r="R20" i="13"/>
  <c r="R21" i="13"/>
  <c r="R22" i="13"/>
  <c r="R23" i="13"/>
  <c r="R24" i="13"/>
  <c r="R25" i="13"/>
  <c r="R27" i="13"/>
  <c r="R36" i="13"/>
  <c r="R39" i="13"/>
  <c r="R42" i="13"/>
  <c r="R49" i="13"/>
  <c r="R50" i="13"/>
  <c r="R51" i="13"/>
  <c r="R53" i="13"/>
  <c r="R54" i="13"/>
  <c r="R55" i="13"/>
  <c r="R57" i="13"/>
  <c r="R58" i="13"/>
  <c r="R59" i="13"/>
  <c r="R61" i="13"/>
  <c r="R66" i="13"/>
  <c r="R68" i="13"/>
  <c r="R70" i="13"/>
  <c r="R72" i="13"/>
  <c r="R73" i="13"/>
  <c r="R74" i="13"/>
  <c r="R76" i="13"/>
  <c r="R78" i="13"/>
  <c r="R81" i="13"/>
  <c r="R83" i="13"/>
  <c r="R95" i="13"/>
  <c r="R97" i="13"/>
  <c r="R99" i="13"/>
  <c r="R103" i="13"/>
  <c r="R105" i="13"/>
  <c r="R107" i="13"/>
  <c r="R109" i="13"/>
  <c r="R111" i="13"/>
  <c r="R113" i="13"/>
  <c r="R153" i="13"/>
  <c r="R155" i="13"/>
  <c r="R157" i="13"/>
  <c r="R160" i="13"/>
  <c r="R163" i="13"/>
  <c r="M52" i="14"/>
  <c r="P163" i="13"/>
  <c r="L52" i="14"/>
  <c r="M163" i="13"/>
  <c r="K52" i="14"/>
  <c r="J163" i="13"/>
  <c r="J52" i="14"/>
  <c r="G163" i="13"/>
  <c r="I52" i="14"/>
  <c r="M46" i="14"/>
  <c r="M43" i="14"/>
  <c r="M41" i="14"/>
  <c r="M34" i="14"/>
  <c r="M35" i="14"/>
  <c r="M36" i="14"/>
  <c r="M28" i="14"/>
  <c r="M23" i="14"/>
  <c r="M24" i="14"/>
  <c r="M25" i="14"/>
  <c r="M20" i="14"/>
  <c r="M16" i="14"/>
  <c r="M15" i="14"/>
  <c r="M17" i="14"/>
  <c r="G123" i="12"/>
  <c r="G126" i="12"/>
  <c r="G120" i="12"/>
  <c r="G121" i="12"/>
  <c r="F124" i="12"/>
  <c r="G124" i="12"/>
  <c r="G127" i="12"/>
  <c r="G129" i="12"/>
  <c r="G130" i="12"/>
  <c r="G134" i="12"/>
  <c r="G135" i="12"/>
  <c r="E136" i="12"/>
  <c r="G136" i="12"/>
  <c r="G138" i="12"/>
  <c r="G139" i="12"/>
  <c r="G140" i="12"/>
  <c r="G141" i="12"/>
  <c r="E145" i="12"/>
  <c r="G145" i="12"/>
  <c r="E146" i="12"/>
  <c r="G146" i="12"/>
  <c r="E147" i="12"/>
  <c r="G147" i="12"/>
  <c r="E149" i="12"/>
  <c r="G149" i="12"/>
  <c r="E150" i="12"/>
  <c r="G150" i="12"/>
  <c r="G151" i="12"/>
  <c r="G153" i="12"/>
  <c r="C41" i="14"/>
  <c r="G95" i="12"/>
  <c r="G97" i="12"/>
  <c r="G99" i="12"/>
  <c r="C34" i="14"/>
  <c r="G103" i="12"/>
  <c r="G105" i="12"/>
  <c r="E107" i="12"/>
  <c r="G107" i="12"/>
  <c r="G109" i="12"/>
  <c r="C35" i="14"/>
  <c r="C36" i="14"/>
  <c r="G81" i="12"/>
  <c r="G83" i="12"/>
  <c r="C28" i="14"/>
  <c r="G49" i="12"/>
  <c r="G50" i="12"/>
  <c r="G51" i="12"/>
  <c r="G53" i="12"/>
  <c r="G54" i="12"/>
  <c r="G55" i="12"/>
  <c r="G57" i="12"/>
  <c r="G58" i="12"/>
  <c r="G59" i="12"/>
  <c r="G61" i="12"/>
  <c r="C23" i="14"/>
  <c r="G66" i="12"/>
  <c r="G68" i="12"/>
  <c r="G70" i="12"/>
  <c r="E72" i="12"/>
  <c r="G72" i="12"/>
  <c r="E73" i="12"/>
  <c r="G73" i="12"/>
  <c r="E74" i="12"/>
  <c r="G74" i="12"/>
  <c r="G76" i="12"/>
  <c r="C24" i="14"/>
  <c r="C25" i="14"/>
  <c r="E39" i="12"/>
  <c r="G20" i="12"/>
  <c r="G21" i="12"/>
  <c r="E22" i="12"/>
  <c r="G22" i="12"/>
  <c r="G23" i="12"/>
  <c r="G24" i="12"/>
  <c r="G25" i="12"/>
  <c r="G27" i="12"/>
  <c r="F39" i="12"/>
  <c r="G39" i="12"/>
  <c r="G42" i="12"/>
  <c r="C20" i="14"/>
  <c r="G30" i="12"/>
  <c r="G31" i="12"/>
  <c r="E32" i="12"/>
  <c r="G32" i="12"/>
  <c r="G34" i="12"/>
  <c r="C16" i="14"/>
  <c r="C15" i="14"/>
  <c r="C17" i="14"/>
  <c r="C43" i="14"/>
  <c r="G155" i="12"/>
  <c r="G36" i="12"/>
  <c r="G78" i="12"/>
  <c r="G111" i="12"/>
  <c r="G113" i="12"/>
  <c r="G157" i="12"/>
  <c r="C160" i="12"/>
  <c r="G160" i="12"/>
  <c r="C46" i="14"/>
  <c r="C49" i="14"/>
  <c r="I95" i="12"/>
  <c r="J95" i="12"/>
  <c r="I97" i="12"/>
  <c r="J97" i="12"/>
  <c r="J99" i="12"/>
  <c r="D34" i="14"/>
  <c r="I103" i="12"/>
  <c r="J103" i="12"/>
  <c r="I105" i="12"/>
  <c r="J105" i="12"/>
  <c r="H107" i="12"/>
  <c r="I107" i="12"/>
  <c r="J107" i="12"/>
  <c r="J109" i="12"/>
  <c r="D35" i="14"/>
  <c r="D36" i="14"/>
  <c r="I120" i="12"/>
  <c r="J120" i="12"/>
  <c r="J121" i="12"/>
  <c r="J123" i="12"/>
  <c r="J124" i="12"/>
  <c r="J126" i="12"/>
  <c r="J127" i="12"/>
  <c r="J128" i="12"/>
  <c r="I129" i="12"/>
  <c r="J129" i="12"/>
  <c r="I130" i="12"/>
  <c r="J130" i="12"/>
  <c r="I134" i="12"/>
  <c r="J134" i="12"/>
  <c r="I135" i="12"/>
  <c r="J135" i="12"/>
  <c r="I136" i="12"/>
  <c r="J136" i="12"/>
  <c r="I138" i="12"/>
  <c r="J138" i="12"/>
  <c r="I139" i="12"/>
  <c r="J139" i="12"/>
  <c r="I140" i="12"/>
  <c r="J140" i="12"/>
  <c r="I141" i="12"/>
  <c r="J141" i="12"/>
  <c r="H145" i="12"/>
  <c r="I145" i="12"/>
  <c r="J145" i="12"/>
  <c r="H146" i="12"/>
  <c r="I146" i="12"/>
  <c r="J146" i="12"/>
  <c r="H147" i="12"/>
  <c r="I147" i="12"/>
  <c r="J147" i="12"/>
  <c r="H149" i="12"/>
  <c r="I149" i="12"/>
  <c r="J149" i="12"/>
  <c r="H150" i="12"/>
  <c r="I150" i="12"/>
  <c r="J150" i="12"/>
  <c r="I151" i="12"/>
  <c r="J151" i="12"/>
  <c r="J153" i="12"/>
  <c r="D41" i="14"/>
  <c r="I81" i="12"/>
  <c r="J81" i="12"/>
  <c r="J83" i="12"/>
  <c r="D28" i="14"/>
  <c r="I49" i="12"/>
  <c r="J49" i="12"/>
  <c r="I50" i="12"/>
  <c r="J50" i="12"/>
  <c r="I51" i="12"/>
  <c r="J51" i="12"/>
  <c r="I53" i="12"/>
  <c r="J53" i="12"/>
  <c r="I54" i="12"/>
  <c r="J54" i="12"/>
  <c r="I55" i="12"/>
  <c r="J55" i="12"/>
  <c r="I57" i="12"/>
  <c r="J57" i="12"/>
  <c r="I58" i="12"/>
  <c r="J58" i="12"/>
  <c r="I59" i="12"/>
  <c r="J59" i="12"/>
  <c r="J61" i="12"/>
  <c r="D23" i="14"/>
  <c r="I66" i="12"/>
  <c r="J66" i="12"/>
  <c r="I68" i="12"/>
  <c r="J68" i="12"/>
  <c r="I70" i="12"/>
  <c r="J70" i="12"/>
  <c r="H72" i="12"/>
  <c r="I72" i="12"/>
  <c r="J72" i="12"/>
  <c r="H73" i="12"/>
  <c r="I73" i="12"/>
  <c r="J73" i="12"/>
  <c r="H74" i="12"/>
  <c r="I74" i="12"/>
  <c r="J74" i="12"/>
  <c r="J76" i="12"/>
  <c r="D24" i="14"/>
  <c r="D25" i="14"/>
  <c r="H39" i="12"/>
  <c r="I20" i="12"/>
  <c r="J20" i="12"/>
  <c r="I21" i="12"/>
  <c r="J21" i="12"/>
  <c r="H22" i="12"/>
  <c r="I22" i="12"/>
  <c r="J22" i="12"/>
  <c r="I23" i="12"/>
  <c r="J23" i="12"/>
  <c r="I24" i="12"/>
  <c r="J24" i="12"/>
  <c r="I25" i="12"/>
  <c r="J25" i="12"/>
  <c r="J27" i="12"/>
  <c r="I39" i="12"/>
  <c r="J39" i="12"/>
  <c r="J42" i="12"/>
  <c r="D20" i="14"/>
  <c r="I30" i="12"/>
  <c r="J30" i="12"/>
  <c r="I31" i="12"/>
  <c r="J31" i="12"/>
  <c r="H32" i="12"/>
  <c r="I32" i="12"/>
  <c r="J32" i="12"/>
  <c r="J34" i="12"/>
  <c r="D16" i="14"/>
  <c r="D15" i="14"/>
  <c r="D17" i="14"/>
  <c r="D43" i="14"/>
  <c r="J36" i="12"/>
  <c r="J78" i="12"/>
  <c r="J111" i="12"/>
  <c r="J113" i="12"/>
  <c r="J155" i="12"/>
  <c r="J157" i="12"/>
  <c r="J160" i="12"/>
  <c r="D46" i="14"/>
  <c r="D49" i="14"/>
  <c r="L95" i="12"/>
  <c r="M95" i="12"/>
  <c r="L97" i="12"/>
  <c r="M97" i="12"/>
  <c r="M99" i="12"/>
  <c r="E34" i="14"/>
  <c r="L103" i="12"/>
  <c r="M103" i="12"/>
  <c r="L105" i="12"/>
  <c r="M105" i="12"/>
  <c r="K107" i="12"/>
  <c r="L107" i="12"/>
  <c r="M107" i="12"/>
  <c r="M109" i="12"/>
  <c r="E35" i="14"/>
  <c r="E36" i="14"/>
  <c r="L120" i="12"/>
  <c r="M120" i="12"/>
  <c r="L121" i="12"/>
  <c r="M121" i="12"/>
  <c r="L123" i="12"/>
  <c r="M123" i="12"/>
  <c r="L124" i="12"/>
  <c r="M124" i="12"/>
  <c r="L126" i="12"/>
  <c r="M126" i="12"/>
  <c r="L127" i="12"/>
  <c r="M127" i="12"/>
  <c r="L128" i="12"/>
  <c r="M128" i="12"/>
  <c r="L129" i="12"/>
  <c r="M129" i="12"/>
  <c r="L130" i="12"/>
  <c r="M130" i="12"/>
  <c r="L134" i="12"/>
  <c r="M134" i="12"/>
  <c r="L135" i="12"/>
  <c r="M135" i="12"/>
  <c r="L136" i="12"/>
  <c r="M136" i="12"/>
  <c r="L138" i="12"/>
  <c r="M138" i="12"/>
  <c r="L139" i="12"/>
  <c r="M139" i="12"/>
  <c r="L140" i="12"/>
  <c r="M140" i="12"/>
  <c r="L141" i="12"/>
  <c r="M141" i="12"/>
  <c r="K145" i="12"/>
  <c r="L145" i="12"/>
  <c r="M145" i="12"/>
  <c r="K146" i="12"/>
  <c r="L146" i="12"/>
  <c r="M146" i="12"/>
  <c r="K147" i="12"/>
  <c r="L147" i="12"/>
  <c r="M147" i="12"/>
  <c r="K149" i="12"/>
  <c r="L149" i="12"/>
  <c r="M149" i="12"/>
  <c r="K150" i="12"/>
  <c r="L150" i="12"/>
  <c r="M150" i="12"/>
  <c r="L151" i="12"/>
  <c r="M151" i="12"/>
  <c r="M153" i="12"/>
  <c r="E41" i="14"/>
  <c r="L81" i="12"/>
  <c r="M81" i="12"/>
  <c r="M83" i="12"/>
  <c r="E28" i="14"/>
  <c r="L49" i="12"/>
  <c r="M49" i="12"/>
  <c r="L50" i="12"/>
  <c r="M50" i="12"/>
  <c r="L51" i="12"/>
  <c r="M51" i="12"/>
  <c r="L53" i="12"/>
  <c r="M53" i="12"/>
  <c r="L54" i="12"/>
  <c r="M54" i="12"/>
  <c r="L55" i="12"/>
  <c r="M55" i="12"/>
  <c r="L57" i="12"/>
  <c r="M57" i="12"/>
  <c r="L58" i="12"/>
  <c r="M58" i="12"/>
  <c r="L59" i="12"/>
  <c r="M59" i="12"/>
  <c r="M61" i="12"/>
  <c r="E23" i="14"/>
  <c r="L66" i="12"/>
  <c r="M66" i="12"/>
  <c r="L68" i="12"/>
  <c r="M68" i="12"/>
  <c r="L70" i="12"/>
  <c r="M70" i="12"/>
  <c r="K72" i="12"/>
  <c r="L72" i="12"/>
  <c r="M72" i="12"/>
  <c r="K73" i="12"/>
  <c r="L73" i="12"/>
  <c r="M73" i="12"/>
  <c r="K74" i="12"/>
  <c r="L74" i="12"/>
  <c r="M74" i="12"/>
  <c r="M76" i="12"/>
  <c r="E24" i="14"/>
  <c r="E25" i="14"/>
  <c r="K39" i="12"/>
  <c r="L20" i="12"/>
  <c r="M20" i="12"/>
  <c r="L21" i="12"/>
  <c r="M21" i="12"/>
  <c r="K22" i="12"/>
  <c r="L22" i="12"/>
  <c r="M22" i="12"/>
  <c r="L23" i="12"/>
  <c r="M23" i="12"/>
  <c r="L24" i="12"/>
  <c r="M24" i="12"/>
  <c r="L25" i="12"/>
  <c r="M25" i="12"/>
  <c r="M27" i="12"/>
  <c r="L39" i="12"/>
  <c r="M39" i="12"/>
  <c r="M42" i="12"/>
  <c r="E20" i="14"/>
  <c r="L30" i="12"/>
  <c r="M30" i="12"/>
  <c r="L31" i="12"/>
  <c r="M31" i="12"/>
  <c r="K32" i="12"/>
  <c r="L32" i="12"/>
  <c r="M32" i="12"/>
  <c r="M34" i="12"/>
  <c r="E16" i="14"/>
  <c r="E15" i="14"/>
  <c r="E17" i="14"/>
  <c r="E43" i="14"/>
  <c r="M36" i="12"/>
  <c r="M78" i="12"/>
  <c r="M111" i="12"/>
  <c r="M113" i="12"/>
  <c r="M155" i="12"/>
  <c r="M157" i="12"/>
  <c r="M160" i="12"/>
  <c r="E46" i="14"/>
  <c r="E49" i="14"/>
  <c r="O95" i="12"/>
  <c r="P95" i="12"/>
  <c r="O97" i="12"/>
  <c r="P97" i="12"/>
  <c r="P99" i="12"/>
  <c r="F34" i="14"/>
  <c r="O103" i="12"/>
  <c r="P103" i="12"/>
  <c r="O105" i="12"/>
  <c r="P105" i="12"/>
  <c r="N107" i="12"/>
  <c r="O107" i="12"/>
  <c r="P107" i="12"/>
  <c r="P109" i="12"/>
  <c r="F35" i="14"/>
  <c r="F36" i="14"/>
  <c r="O120" i="12"/>
  <c r="P120" i="12"/>
  <c r="O121" i="12"/>
  <c r="P121" i="12"/>
  <c r="O123" i="12"/>
  <c r="P123" i="12"/>
  <c r="O124" i="12"/>
  <c r="P124" i="12"/>
  <c r="O126" i="12"/>
  <c r="P126" i="12"/>
  <c r="O127" i="12"/>
  <c r="P127" i="12"/>
  <c r="O129" i="12"/>
  <c r="P129" i="12"/>
  <c r="O130" i="12"/>
  <c r="P130" i="12"/>
  <c r="O134" i="12"/>
  <c r="P134" i="12"/>
  <c r="O135" i="12"/>
  <c r="P135" i="12"/>
  <c r="O136" i="12"/>
  <c r="P136" i="12"/>
  <c r="O138" i="12"/>
  <c r="P138" i="12"/>
  <c r="O139" i="12"/>
  <c r="P139" i="12"/>
  <c r="O140" i="12"/>
  <c r="P140" i="12"/>
  <c r="O141" i="12"/>
  <c r="P141" i="12"/>
  <c r="N145" i="12"/>
  <c r="O145" i="12"/>
  <c r="P145" i="12"/>
  <c r="N146" i="12"/>
  <c r="O146" i="12"/>
  <c r="P146" i="12"/>
  <c r="N147" i="12"/>
  <c r="O147" i="12"/>
  <c r="P147" i="12"/>
  <c r="N149" i="12"/>
  <c r="O149" i="12"/>
  <c r="P149" i="12"/>
  <c r="N150" i="12"/>
  <c r="O150" i="12"/>
  <c r="P150" i="12"/>
  <c r="O151" i="12"/>
  <c r="P151" i="12"/>
  <c r="P153" i="12"/>
  <c r="F41" i="14"/>
  <c r="O81" i="12"/>
  <c r="P81" i="12"/>
  <c r="P83" i="12"/>
  <c r="F28" i="14"/>
  <c r="O49" i="12"/>
  <c r="P49" i="12"/>
  <c r="O50" i="12"/>
  <c r="P50" i="12"/>
  <c r="O51" i="12"/>
  <c r="P51" i="12"/>
  <c r="O53" i="12"/>
  <c r="P53" i="12"/>
  <c r="O54" i="12"/>
  <c r="P54" i="12"/>
  <c r="O55" i="12"/>
  <c r="P55" i="12"/>
  <c r="O57" i="12"/>
  <c r="P57" i="12"/>
  <c r="O58" i="12"/>
  <c r="P58" i="12"/>
  <c r="O59" i="12"/>
  <c r="P59" i="12"/>
  <c r="P61" i="12"/>
  <c r="F23" i="14"/>
  <c r="O66" i="12"/>
  <c r="P66" i="12"/>
  <c r="O68" i="12"/>
  <c r="P68" i="12"/>
  <c r="O70" i="12"/>
  <c r="P70" i="12"/>
  <c r="N72" i="12"/>
  <c r="O72" i="12"/>
  <c r="P72" i="12"/>
  <c r="N73" i="12"/>
  <c r="O73" i="12"/>
  <c r="P73" i="12"/>
  <c r="N74" i="12"/>
  <c r="O74" i="12"/>
  <c r="P74" i="12"/>
  <c r="P76" i="12"/>
  <c r="F24" i="14"/>
  <c r="F25" i="14"/>
  <c r="N39" i="12"/>
  <c r="O20" i="12"/>
  <c r="P20" i="12"/>
  <c r="O21" i="12"/>
  <c r="P21" i="12"/>
  <c r="N22" i="12"/>
  <c r="O22" i="12"/>
  <c r="P22" i="12"/>
  <c r="O23" i="12"/>
  <c r="P23" i="12"/>
  <c r="O24" i="12"/>
  <c r="P24" i="12"/>
  <c r="O25" i="12"/>
  <c r="P25" i="12"/>
  <c r="P27" i="12"/>
  <c r="O39" i="12"/>
  <c r="P39" i="12"/>
  <c r="P42" i="12"/>
  <c r="F20" i="14"/>
  <c r="O30" i="12"/>
  <c r="P30" i="12"/>
  <c r="O31" i="12"/>
  <c r="P31" i="12"/>
  <c r="N32" i="12"/>
  <c r="O32" i="12"/>
  <c r="P32" i="12"/>
  <c r="P34" i="12"/>
  <c r="F16" i="14"/>
  <c r="F15" i="14"/>
  <c r="F17" i="14"/>
  <c r="F43" i="14"/>
  <c r="P36" i="12"/>
  <c r="P78" i="12"/>
  <c r="P111" i="12"/>
  <c r="P113" i="12"/>
  <c r="P155" i="12"/>
  <c r="P157" i="12"/>
  <c r="P160" i="12"/>
  <c r="F46" i="14"/>
  <c r="F49" i="14"/>
  <c r="G49" i="14"/>
  <c r="R153" i="12"/>
  <c r="R155" i="12"/>
  <c r="R87" i="12"/>
  <c r="R89" i="12"/>
  <c r="R30" i="12"/>
  <c r="R31" i="12"/>
  <c r="R32" i="12"/>
  <c r="R34" i="12"/>
  <c r="R20" i="12"/>
  <c r="R21" i="12"/>
  <c r="R22" i="12"/>
  <c r="R23" i="12"/>
  <c r="R24" i="12"/>
  <c r="R25" i="12"/>
  <c r="R27" i="12"/>
  <c r="R36" i="12"/>
  <c r="R39" i="12"/>
  <c r="R42" i="12"/>
  <c r="R49" i="12"/>
  <c r="R50" i="12"/>
  <c r="R51" i="12"/>
  <c r="R53" i="12"/>
  <c r="R54" i="12"/>
  <c r="R55" i="12"/>
  <c r="R57" i="12"/>
  <c r="R58" i="12"/>
  <c r="R59" i="12"/>
  <c r="R61" i="12"/>
  <c r="R66" i="12"/>
  <c r="R68" i="12"/>
  <c r="R70" i="12"/>
  <c r="R72" i="12"/>
  <c r="R73" i="12"/>
  <c r="R74" i="12"/>
  <c r="R76" i="12"/>
  <c r="R78" i="12"/>
  <c r="R81" i="12"/>
  <c r="R83" i="12"/>
  <c r="R95" i="12"/>
  <c r="R97" i="12"/>
  <c r="R99" i="12"/>
  <c r="R103" i="12"/>
  <c r="R105" i="12"/>
  <c r="R107" i="12"/>
  <c r="R109" i="12"/>
  <c r="R111" i="12"/>
  <c r="R113" i="12"/>
  <c r="R157" i="12"/>
  <c r="R160" i="12"/>
  <c r="R163" i="12"/>
  <c r="G52" i="14"/>
  <c r="P163" i="12"/>
  <c r="F52" i="14"/>
  <c r="M163" i="12"/>
  <c r="E52" i="14"/>
  <c r="J163" i="12"/>
  <c r="D52" i="14"/>
  <c r="G163" i="12"/>
  <c r="C52" i="14"/>
  <c r="S163" i="13"/>
  <c r="S160" i="13"/>
  <c r="S157" i="13"/>
  <c r="R120" i="13"/>
  <c r="R121" i="13"/>
  <c r="R123" i="13"/>
  <c r="R124" i="13"/>
  <c r="R126" i="13"/>
  <c r="R127" i="13"/>
  <c r="R129" i="13"/>
  <c r="R130" i="13"/>
  <c r="R134" i="13"/>
  <c r="R135" i="13"/>
  <c r="R136" i="13"/>
  <c r="R138" i="13"/>
  <c r="R139" i="13"/>
  <c r="R140" i="13"/>
  <c r="R141" i="13"/>
  <c r="R145" i="13"/>
  <c r="R146" i="13"/>
  <c r="R147" i="13"/>
  <c r="R149" i="13"/>
  <c r="R150" i="13"/>
  <c r="R151" i="13"/>
  <c r="S153" i="13"/>
  <c r="Q151" i="13"/>
  <c r="Q150" i="13"/>
  <c r="Q149" i="13"/>
  <c r="Q147" i="13"/>
  <c r="Q146" i="13"/>
  <c r="Q145" i="13"/>
  <c r="Q141" i="13"/>
  <c r="Q140" i="13"/>
  <c r="Q139" i="13"/>
  <c r="Q138" i="13"/>
  <c r="Q136" i="13"/>
  <c r="Q135" i="13"/>
  <c r="Q134" i="13"/>
  <c r="Q130" i="13"/>
  <c r="Q129" i="13"/>
  <c r="O128" i="13"/>
  <c r="Q127" i="13"/>
  <c r="Q126" i="13"/>
  <c r="Q124" i="13"/>
  <c r="Q123" i="13"/>
  <c r="Q121" i="13"/>
  <c r="Q120" i="13"/>
  <c r="S113" i="13"/>
  <c r="E99" i="13"/>
  <c r="H99" i="13"/>
  <c r="K99" i="13"/>
  <c r="N99" i="13"/>
  <c r="Q99" i="13"/>
  <c r="Q103" i="13"/>
  <c r="Q105" i="13"/>
  <c r="Q107" i="13"/>
  <c r="Q109" i="13"/>
  <c r="Q111" i="13"/>
  <c r="N109" i="13"/>
  <c r="N111" i="13"/>
  <c r="K109" i="13"/>
  <c r="K111" i="13"/>
  <c r="H109" i="13"/>
  <c r="H111" i="13"/>
  <c r="E109" i="13"/>
  <c r="E111" i="13"/>
  <c r="Q97" i="13"/>
  <c r="Q95" i="13"/>
  <c r="Q87" i="13"/>
  <c r="Q81" i="13"/>
  <c r="Q74" i="13"/>
  <c r="Q73" i="13"/>
  <c r="Q72" i="13"/>
  <c r="Q70" i="13"/>
  <c r="Q68" i="13"/>
  <c r="Q66" i="13"/>
  <c r="Q59" i="13"/>
  <c r="Q58" i="13"/>
  <c r="Q57" i="13"/>
  <c r="Q55" i="13"/>
  <c r="Q54" i="13"/>
  <c r="Q53" i="13"/>
  <c r="Q51" i="13"/>
  <c r="Q50" i="13"/>
  <c r="Q49" i="13"/>
  <c r="Q32" i="13"/>
  <c r="Q31" i="13"/>
  <c r="Q30" i="13"/>
  <c r="Q25" i="13"/>
  <c r="Q24" i="13"/>
  <c r="Q23" i="13"/>
  <c r="Q22" i="13"/>
  <c r="Q21" i="13"/>
  <c r="Q20" i="13"/>
  <c r="R3" i="13"/>
  <c r="G46" i="14"/>
  <c r="G43" i="14"/>
  <c r="G41" i="14"/>
  <c r="G34" i="14"/>
  <c r="G35" i="14"/>
  <c r="G36" i="14"/>
  <c r="G28" i="14"/>
  <c r="G23" i="14"/>
  <c r="G24" i="14"/>
  <c r="G25" i="14"/>
  <c r="G20" i="14"/>
  <c r="G16" i="14"/>
  <c r="G15" i="14"/>
  <c r="G17" i="14"/>
  <c r="O128" i="12"/>
  <c r="R120" i="12"/>
  <c r="R121" i="12"/>
  <c r="R123" i="12"/>
  <c r="R124" i="12"/>
  <c r="R126" i="12"/>
  <c r="R127" i="12"/>
  <c r="R129" i="12"/>
  <c r="R130" i="12"/>
  <c r="S163" i="12"/>
  <c r="S160" i="12"/>
  <c r="S157" i="12"/>
  <c r="R134" i="12"/>
  <c r="R135" i="12"/>
  <c r="R136" i="12"/>
  <c r="R138" i="12"/>
  <c r="R139" i="12"/>
  <c r="R140" i="12"/>
  <c r="R141" i="12"/>
  <c r="R145" i="12"/>
  <c r="R146" i="12"/>
  <c r="R147" i="12"/>
  <c r="R149" i="12"/>
  <c r="R150" i="12"/>
  <c r="R151" i="12"/>
  <c r="S153" i="12"/>
  <c r="Q151" i="12"/>
  <c r="Q150" i="12"/>
  <c r="Q149" i="12"/>
  <c r="Q147" i="12"/>
  <c r="Q146" i="12"/>
  <c r="Q145" i="12"/>
  <c r="Q141" i="12"/>
  <c r="Q140" i="12"/>
  <c r="Q139" i="12"/>
  <c r="Q138" i="12"/>
  <c r="Q136" i="12"/>
  <c r="Q135" i="12"/>
  <c r="Q134" i="12"/>
  <c r="Q130" i="12"/>
  <c r="Q129" i="12"/>
  <c r="Q127" i="12"/>
  <c r="Q126" i="12"/>
  <c r="Q124" i="12"/>
  <c r="Q123" i="12"/>
  <c r="Q121" i="12"/>
  <c r="Q120" i="12"/>
  <c r="S113" i="12"/>
  <c r="E99" i="12"/>
  <c r="H99" i="12"/>
  <c r="K99" i="12"/>
  <c r="N99" i="12"/>
  <c r="Q99" i="12"/>
  <c r="Q103" i="12"/>
  <c r="Q105" i="12"/>
  <c r="Q107" i="12"/>
  <c r="Q109" i="12"/>
  <c r="Q111" i="12"/>
  <c r="N109" i="12"/>
  <c r="N111" i="12"/>
  <c r="K109" i="12"/>
  <c r="K111" i="12"/>
  <c r="H109" i="12"/>
  <c r="H111" i="12"/>
  <c r="E109" i="12"/>
  <c r="E111" i="12"/>
  <c r="Q97" i="12"/>
  <c r="Q95" i="12"/>
  <c r="Q87" i="12"/>
  <c r="Q81" i="12"/>
  <c r="Q74" i="12"/>
  <c r="Q73" i="12"/>
  <c r="Q72" i="12"/>
  <c r="Q70" i="12"/>
  <c r="Q68" i="12"/>
  <c r="Q66" i="12"/>
  <c r="Q59" i="12"/>
  <c r="Q58" i="12"/>
  <c r="Q57" i="12"/>
  <c r="Q55" i="12"/>
  <c r="Q54" i="12"/>
  <c r="Q53" i="12"/>
  <c r="Q51" i="12"/>
  <c r="Q50" i="12"/>
  <c r="Q49" i="12"/>
  <c r="Q32" i="12"/>
  <c r="Q31" i="12"/>
  <c r="Q30" i="12"/>
  <c r="Q25" i="12"/>
  <c r="Q24" i="12"/>
  <c r="Q23" i="12"/>
  <c r="Q22" i="12"/>
  <c r="Q21" i="12"/>
  <c r="Q20" i="12"/>
  <c r="R3" i="12"/>
</calcChain>
</file>

<file path=xl/sharedStrings.xml><?xml version="1.0" encoding="utf-8"?>
<sst xmlns="http://schemas.openxmlformats.org/spreadsheetml/2006/main" count="902" uniqueCount="902">
  <si>
    <r>
      <rPr>
        <sz val="12"/>
        <rFont val="Times New Roman"/>
        <family val="1"/>
      </rPr>
      <t>Institution chargée de gérer l’étude</t>
    </r>
  </si>
  <si>
    <r>
      <rPr>
        <b/>
        <sz val="12"/>
        <rFont val="Times New Roman"/>
        <family val="1"/>
      </rPr>
      <t>Budget alloué à : [Institution]</t>
    </r>
  </si>
  <si>
    <r>
      <rPr>
        <sz val="12"/>
        <rFont val="Times New Roman"/>
        <family val="1"/>
      </rPr>
      <t xml:space="preserve">Projet n° </t>
    </r>
  </si>
  <si>
    <r>
      <rPr>
        <sz val="12"/>
        <rFont val="Times New Roman"/>
        <family val="1"/>
      </rPr>
      <t>Nom du projet :</t>
    </r>
  </si>
  <si>
    <r>
      <rPr>
        <b/>
        <sz val="12"/>
        <rFont val="Times New Roman"/>
        <family val="1"/>
      </rPr>
      <t>SURVEILLANCE DE LA DURABILITÉ [pays]</t>
    </r>
  </si>
  <si>
    <r>
      <rPr>
        <b/>
        <sz val="12"/>
        <color rgb="FF7030A0"/>
        <rFont val="Times New Roman"/>
        <family val="1"/>
      </rPr>
      <t>Budget de surveillance - 1 équipe pour 2 sites - équipe internationale</t>
    </r>
  </si>
  <si>
    <r>
      <rPr>
        <b/>
        <sz val="12"/>
        <color rgb="FF7030A0"/>
        <rFont val="Times New Roman"/>
        <family val="1"/>
      </rPr>
      <t>Budget de surveillance - 1 équipe pour chaque site - équipe internationale</t>
    </r>
  </si>
  <si>
    <r>
      <rPr>
        <b/>
        <sz val="12"/>
        <color rgb="FF7030A0"/>
        <rFont val="Times New Roman"/>
        <family val="1"/>
      </rPr>
      <t>Budget de surveillance - 1 équipe pour chaque site - pas d’équipe d’assistance internationale</t>
    </r>
  </si>
  <si>
    <r>
      <rPr>
        <b/>
        <sz val="12"/>
        <rFont val="Times New Roman"/>
        <family val="1"/>
      </rPr>
      <t>Budget détaillé pour la surveillance de la durabilité</t>
    </r>
  </si>
  <si>
    <r>
      <rPr>
        <b/>
        <sz val="12"/>
        <rFont val="Times New Roman"/>
        <family val="1"/>
      </rPr>
      <t>Début de l’étude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</si>
  <si>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</si>
  <si>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</si>
  <si>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</si>
  <si>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>Total</t>
    </r>
  </si>
  <si>
    <r>
      <rPr>
        <b/>
        <sz val="12"/>
        <rFont val="Times New Roman"/>
        <family val="1"/>
      </rPr>
      <t>Début de l’étude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</si>
  <si>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</si>
  <si>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</si>
  <si>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</si>
  <si>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>Total</t>
    </r>
  </si>
  <si>
    <r>
      <rPr>
        <b/>
        <sz val="12"/>
        <rFont val="Times New Roman"/>
        <family val="1"/>
      </rPr>
      <t>Début de l’étude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</si>
  <si>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</si>
  <si>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</si>
  <si>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</si>
  <si>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>Total</t>
    </r>
  </si>
  <si>
    <r>
      <rPr>
        <sz val="12"/>
        <rFont val="Times New Roman"/>
        <family val="1"/>
      </rPr>
      <t>DESCRIPTION DU POSTE BUDGÉTAIRE</t>
    </r>
  </si>
  <si>
    <r>
      <rPr>
        <b/>
        <sz val="12"/>
        <rFont val="Times New Roman"/>
        <family val="1"/>
      </rPr>
      <t>I. PERSONNEL (ÉQUIPES SALARIÉES)</t>
    </r>
  </si>
  <si>
    <r>
      <rPr>
        <b/>
        <sz val="12"/>
        <rFont val="Times New Roman"/>
        <family val="1"/>
      </rPr>
      <t>A. Assistance technique de courte durée depuis le siège</t>
    </r>
  </si>
  <si>
    <r>
      <rPr>
        <b/>
        <sz val="12"/>
        <rFont val="Times New Roman"/>
        <family val="1"/>
      </rPr>
      <t>B. Salaires et charges sociales des équipes nationales</t>
    </r>
  </si>
  <si>
    <r>
      <rPr>
        <b/>
        <sz val="12"/>
        <rFont val="Times New Roman"/>
        <family val="1"/>
      </rPr>
      <t>Sous-total salaires et traitements</t>
    </r>
  </si>
  <si>
    <r>
      <rPr>
        <b/>
        <sz val="12"/>
        <rFont val="Times New Roman"/>
        <family val="1"/>
      </rPr>
      <t xml:space="preserve"> II.   CHARGES SOCIALES </t>
    </r>
  </si>
  <si>
    <r>
      <rPr>
        <b/>
        <sz val="12"/>
        <rFont val="Times New Roman"/>
        <family val="1"/>
      </rPr>
      <t>Sous-total charges sociales</t>
    </r>
  </si>
  <si>
    <r>
      <rPr>
        <b/>
        <sz val="12"/>
        <rFont val="Times New Roman"/>
        <family val="1"/>
      </rPr>
      <t>III. DÉPLACEMENTS ET INDEMNITÉS JOURNALIÈRES</t>
    </r>
  </si>
  <si>
    <r>
      <rPr>
        <b/>
        <sz val="12"/>
        <rFont val="Times New Roman"/>
        <family val="1"/>
      </rPr>
      <t>A. Déplacements internationaux - assistance technique courte durée</t>
    </r>
  </si>
  <si>
    <r>
      <rPr>
        <b/>
        <sz val="12"/>
        <rFont val="Times New Roman"/>
        <family val="1"/>
      </rPr>
      <t>B. Déplacements locaux</t>
    </r>
  </si>
  <si>
    <r>
      <rPr>
        <b/>
        <sz val="12"/>
        <rFont val="Times New Roman"/>
        <family val="1"/>
      </rPr>
      <t>Sous-total déplacements et indemnités journalières</t>
    </r>
  </si>
  <si>
    <r>
      <rPr>
        <b/>
        <sz val="12"/>
        <rFont val="Times New Roman"/>
        <family val="1"/>
      </rPr>
      <t>IV. MATÉRIEL</t>
    </r>
  </si>
  <si>
    <r>
      <rPr>
        <b/>
        <sz val="12"/>
        <rFont val="Times New Roman"/>
        <family val="1"/>
      </rPr>
      <t>Sous-total matériel</t>
    </r>
  </si>
  <si>
    <r>
      <rPr>
        <b/>
        <sz val="12"/>
        <rFont val="Times New Roman"/>
        <family val="1"/>
      </rPr>
      <t>V. FOURNITURES</t>
    </r>
  </si>
  <si>
    <r>
      <rPr>
        <b/>
        <sz val="12"/>
        <rFont val="Times New Roman"/>
        <family val="1"/>
      </rPr>
      <t>Sous-total fournitures</t>
    </r>
  </si>
  <si>
    <r>
      <rPr>
        <b/>
        <sz val="12"/>
        <rFont val="Times New Roman"/>
        <family val="1"/>
      </rPr>
      <t>VI. SOUS-TRAITANCE</t>
    </r>
  </si>
  <si>
    <r>
      <rPr>
        <b/>
        <sz val="12"/>
        <rFont val="Times New Roman"/>
        <family val="1"/>
      </rPr>
      <t>A. Consultants internationaux - assistance technique courte durée</t>
    </r>
  </si>
  <si>
    <r>
      <rPr>
        <b/>
        <sz val="12"/>
        <rFont val="Times New Roman"/>
        <family val="1"/>
      </rPr>
      <t>A. Consultants nationaux - assistance technique courte durée</t>
    </r>
  </si>
  <si>
    <r>
      <rPr>
        <b/>
        <sz val="12"/>
        <rFont val="Times New Roman"/>
        <family val="1"/>
      </rPr>
      <t>Sous-total sous-traitance</t>
    </r>
  </si>
  <si>
    <r>
      <rPr>
        <b/>
        <sz val="12"/>
        <rFont val="Times New Roman"/>
        <family val="1"/>
      </rPr>
      <t xml:space="preserve">VII. AUTRES FRAIS DIRECTS </t>
    </r>
  </si>
  <si>
    <r>
      <rPr>
        <b/>
        <sz val="12"/>
        <rFont val="Times New Roman"/>
        <family val="1"/>
      </rPr>
      <t>A. Activités / ateliers / réunions</t>
    </r>
  </si>
  <si>
    <r>
      <rPr>
        <b/>
        <sz val="12"/>
        <rFont val="Times New Roman"/>
        <family val="1"/>
      </rPr>
      <t>Sous-total autres frais directs</t>
    </r>
  </si>
  <si>
    <r>
      <rPr>
        <b/>
        <sz val="12"/>
        <rFont val="Times New Roman"/>
        <family val="1"/>
      </rPr>
      <t>TOTAL FRAIS DIRECTS</t>
    </r>
  </si>
  <si>
    <r>
      <rPr>
        <b/>
        <sz val="12"/>
        <rFont val="Times New Roman"/>
        <family val="1"/>
      </rPr>
      <t>VIII.  FRAIS INDIRECTS :</t>
    </r>
  </si>
  <si>
    <r>
      <rPr>
        <b/>
        <sz val="12"/>
        <rFont val="Times New Roman"/>
        <family val="1"/>
      </rPr>
      <t>COÛT TOTAL DU PROJET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</si>
  <si>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</si>
  <si>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Institution chargée de gérer l’étude</t>
    </r>
  </si>
  <si>
    <r>
      <rPr>
        <b/>
        <sz val="12"/>
        <rFont val="Times New Roman"/>
        <family val="1"/>
      </rPr>
      <t>Budget alloué à : [Institution]</t>
    </r>
  </si>
  <si>
    <r>
      <rPr>
        <sz val="12"/>
        <rFont val="Times New Roman"/>
        <family val="1"/>
      </rPr>
      <t xml:space="preserve">Projet n° </t>
    </r>
  </si>
  <si>
    <r>
      <rPr>
        <sz val="12"/>
        <rFont val="Times New Roman"/>
        <family val="1"/>
      </rPr>
      <t>Nom du projet :</t>
    </r>
  </si>
  <si>
    <r>
      <rPr>
        <b/>
        <sz val="12"/>
        <rFont val="Times New Roman"/>
        <family val="1"/>
      </rPr>
      <t>SURVEILLANCE DE LA DURABILITÉ [pays] - 1 équipe de terrain</t>
    </r>
  </si>
  <si>
    <r>
      <rPr>
        <b/>
        <sz val="12"/>
        <color rgb="FF7030A0"/>
        <rFont val="Times New Roman"/>
        <family val="1"/>
      </rPr>
      <t>Taux de charges sociales pour le personnel</t>
    </r>
  </si>
  <si>
    <r>
      <rPr>
        <sz val="12"/>
        <rFont val="Times New Roman"/>
        <family val="1"/>
      </rPr>
      <t>Ajuster si nécessaire</t>
    </r>
  </si>
  <si>
    <r>
      <rPr>
        <b/>
        <sz val="12"/>
        <color rgb="FF7030A0"/>
        <rFont val="Times New Roman"/>
        <family val="1"/>
      </rPr>
      <t>Taux frais indirects</t>
    </r>
  </si>
  <si>
    <r>
      <rPr>
        <sz val="12"/>
        <rFont val="Times New Roman"/>
        <family val="1"/>
      </rPr>
      <t>Ajuster si nécessaire</t>
    </r>
  </si>
  <si>
    <r>
      <rPr>
        <b/>
        <sz val="12"/>
        <color rgb="FF7030A0"/>
        <rFont val="Times New Roman"/>
        <family val="1"/>
      </rPr>
      <t>Taux d’inflation annuel</t>
    </r>
  </si>
  <si>
    <r>
      <rPr>
        <sz val="12"/>
        <rFont val="Times New Roman"/>
        <family val="1"/>
      </rPr>
      <t xml:space="preserve">Ajuster si nécessaire </t>
    </r>
  </si>
  <si>
    <r>
      <rPr>
        <b/>
        <sz val="12"/>
        <color rgb="FF7030A0"/>
        <rFont val="Times New Roman"/>
        <family val="1"/>
      </rPr>
      <t>Nombre de sites de surveillance</t>
    </r>
  </si>
  <si>
    <r>
      <rPr>
        <sz val="12"/>
        <rFont val="Times New Roman"/>
        <family val="1"/>
      </rPr>
      <t>Ajuster si nécessaire</t>
    </r>
  </si>
  <si>
    <r>
      <rPr>
        <b/>
        <sz val="12"/>
        <rFont val="Times New Roman"/>
        <family val="1"/>
      </rPr>
      <t>1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</si>
  <si>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b/>
        <sz val="12"/>
        <rFont val="Times New Roman"/>
        <family val="1"/>
      </rPr>
      <t>2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</si>
  <si>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b/>
        <sz val="12"/>
        <rFont val="Times New Roman"/>
        <family val="1"/>
      </rPr>
      <t>3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</si>
  <si>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sz val="12"/>
        <rFont val="Times New Roman"/>
        <family val="1"/>
      </rPr>
      <t>TYPE DE FRAIS</t>
    </r>
  </si>
  <si>
    <r>
      <rPr>
        <b/>
        <sz val="12"/>
        <rFont val="Times New Roman"/>
        <family val="1"/>
      </rPr>
      <t>Budget détaillé pour la surveillance de la durabilité</t>
    </r>
  </si>
  <si>
    <r>
      <rPr>
        <sz val="12"/>
        <rFont val="Times New Roman"/>
        <family val="1"/>
      </rPr>
      <t>Le coût varie-t-il</t>
    </r>
  </si>
  <si>
    <r>
      <rPr>
        <sz val="12"/>
        <rFont val="Times New Roman"/>
        <family val="1"/>
      </rPr>
      <t>Début de l’étude</t>
    </r>
  </si>
  <si>
    <r>
      <rPr>
        <sz val="12"/>
        <rFont val="Times New Roman"/>
        <family val="1"/>
      </rPr>
      <t>12 mois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</si>
  <si>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</si>
  <si>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</si>
  <si>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 xml:space="preserve">TOTAL </t>
    </r>
  </si>
  <si>
    <r>
      <rPr>
        <sz val="12"/>
        <color rgb="FFFF0000"/>
        <rFont val="Times New Roman"/>
      </rPr>
      <t>Vérifications</t>
    </r>
  </si>
  <si>
    <r>
      <rPr>
        <sz val="12"/>
        <rFont val="Times New Roman"/>
        <family val="1"/>
      </rPr>
      <t>en fonction du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</si>
  <si>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</si>
  <si>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</si>
  <si>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</si>
  <si>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</si>
  <si>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</si>
  <si>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DESCRIPTION DU POSTE BUDGÉTAIRE</t>
    </r>
  </si>
  <si>
    <r>
      <rPr>
        <sz val="12"/>
        <rFont val="Times New Roman"/>
        <family val="1"/>
      </rPr>
      <t>nombre de sites ?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</si>
  <si>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</si>
  <si>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</si>
  <si>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</si>
  <si>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</si>
  <si>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</si>
  <si>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</si>
  <si>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</si>
  <si>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</si>
  <si>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</si>
  <si>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</si>
  <si>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</si>
  <si>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</si>
  <si>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b/>
        <sz val="12"/>
        <rFont val="Times New Roman"/>
        <family val="1"/>
      </rPr>
      <t>UNITÉS</t>
    </r>
  </si>
  <si>
    <r>
      <rPr>
        <b/>
        <sz val="12"/>
        <rFont val="Times New Roman"/>
        <family val="1"/>
      </rPr>
      <t>TOTAL (en $)</t>
    </r>
  </si>
  <si>
    <r>
      <rPr>
        <b/>
        <sz val="12"/>
        <rFont val="Times New Roman"/>
        <family val="1"/>
      </rPr>
      <t>I. PERSONNEL (ÉQUIPES SALARIÉES)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</si>
  <si>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</si>
  <si>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</si>
  <si>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Assistance technique de courte durée depuis le siège</t>
    </r>
  </si>
  <si>
    <r>
      <rPr>
        <sz val="12"/>
        <rFont val="Times New Roman"/>
        <family val="1"/>
      </rPr>
      <t>IP - général / prép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</si>
  <si>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</si>
  <si>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IP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</si>
  <si>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</si>
  <si>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IP - travail sur le terrain</t>
    </r>
  </si>
  <si>
    <r>
      <rPr>
        <sz val="12"/>
        <color rgb="FFFF6600"/>
        <rFont val="Times New Roman"/>
        <family val="1"/>
      </rPr>
      <t>2 jours par site (assistance depuis les bureaux et analyse des données)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</si>
  <si>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</si>
  <si>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Gestion administrative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</si>
  <si>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</si>
  <si>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Supervision de la gestion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</si>
  <si>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</si>
  <si>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Gestion financière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</si>
  <si>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</si>
  <si>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   Sous-total assistance technique de courte durée depuis le siège</t>
    </r>
  </si>
  <si>
    <r>
      <rPr>
        <b/>
        <sz val="12"/>
        <rFont val="Times New Roman"/>
        <family val="1"/>
      </rPr>
      <t>B. Salaires et charges sociales des équipes nationales</t>
    </r>
  </si>
  <si>
    <r>
      <rPr>
        <sz val="12"/>
        <rFont val="Times New Roman"/>
        <family val="1"/>
      </rPr>
      <t>Coordinateur de la surveillance - général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</si>
  <si>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</si>
  <si>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Coordinateur de la surveillance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</si>
  <si>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</si>
  <si>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Coordinateur de la surveillance - travail sur le terrain</t>
    </r>
  </si>
  <si>
    <r>
      <rPr>
        <sz val="12"/>
        <color rgb="FFFF6600"/>
        <rFont val="Times New Roman"/>
        <family val="1"/>
      </rPr>
      <t>9 jours par site (7 jours sur le terrain et 2 jours de nettoyage, analyse et reporting)</t>
    </r>
  </si>
  <si>
    <r>
      <rPr>
        <sz val="12"/>
        <color rgb="FFFF6600"/>
        <rFont val="Times New Roman"/>
        <family val="1"/>
      </rPr>
      <t xml:space="preserve">Variable </t>
    </r>
  </si>
  <si>
    <r>
      <rPr>
        <b/>
        <sz val="12"/>
        <rFont val="Times New Roman"/>
        <family val="1"/>
      </rPr>
      <t>Sous-total salaires et charges sociales des équipes nationales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</si>
  <si>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</si>
  <si>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salaires et traitements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</si>
  <si>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</si>
  <si>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II.   CHARGES SOCIALES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</si>
  <si>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</si>
  <si>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</si>
  <si>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</si>
  <si>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</si>
  <si>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Salaires siège sur place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</si>
  <si>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</si>
  <si>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Salaires siège autre lieu</t>
    </r>
  </si>
  <si>
    <r>
      <rPr>
        <b/>
        <sz val="12"/>
        <rFont val="Times New Roman"/>
        <family val="1"/>
      </rPr>
      <t>Sous-total charges sociales</t>
    </r>
  </si>
  <si>
    <r>
      <rPr>
        <b/>
        <sz val="12"/>
        <rFont val="Times New Roman"/>
        <family val="1"/>
      </rPr>
      <t>III. DÉPLACEMENTS ET INDEMNITÉS JOURNALIÈRES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</si>
  <si>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</si>
  <si>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Déplacements internationaux - assistance technique courte durée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</si>
  <si>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</si>
  <si>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</si>
  <si>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color rgb="FF70AD47" tint="-0.249977111117893"/>
        <rFont val="Times New Roman"/>
      </rPr>
      <t>Première année - première visite de planification et sélection de la cohorte</t>
    </r>
  </si>
  <si>
    <r>
      <rPr>
        <sz val="12"/>
        <rFont val="Times New Roman"/>
        <family val="1"/>
      </rPr>
      <t>Billets d’avion aller-retour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</si>
  <si>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</si>
  <si>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</si>
  <si>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</si>
  <si>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IP</t>
    </r>
  </si>
  <si>
    <r>
      <rPr>
        <sz val="12"/>
        <rFont val="Times New Roman"/>
        <family val="1"/>
      </rPr>
      <t>Fixe</t>
    </r>
  </si>
  <si>
    <r>
      <rPr>
        <sz val="12"/>
        <color rgb="FF70AD47" tint="-0.249977111117893"/>
        <rFont val="Times New Roman"/>
      </rPr>
      <t>4</t>
    </r>
    <r>
      <rPr>
        <vertAlign val="superscript"/>
        <sz val="12"/>
        <color rgb="FF70AD47" tint="-0.249977111117893"/>
        <rFont val="Times New Roman"/>
      </rPr>
      <t>e</t>
    </r>
    <r>
      <rPr>
        <sz val="12"/>
        <color rgb="FF70AD47" tint="-0.249977111117893"/>
        <rFont val="Times New Roman"/>
      </rPr>
      <t xml:space="preserve"> année - diffusion à la fin de la surveillance </t>
    </r>
  </si>
  <si>
    <r>
      <rPr>
        <sz val="12"/>
        <rFont val="Times New Roman"/>
        <family val="1"/>
      </rPr>
      <t>Billets d’avion aller-retour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</si>
  <si>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</si>
  <si>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</si>
  <si>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</si>
  <si>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IP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</si>
  <si>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</si>
  <si>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</si>
  <si>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Billets d’avion aller-retour consultant international en technologie mobile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</si>
  <si>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</si>
  <si>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consultant international en technologie mobile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</si>
  <si>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</si>
  <si>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consultant international en technologie mobile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</si>
  <si>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</si>
  <si>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Sous-total déplacements internationaux - assistance technique courte durée</t>
    </r>
  </si>
  <si>
    <r>
      <rPr>
        <b/>
        <sz val="12"/>
        <rFont val="Times New Roman"/>
        <family val="1"/>
      </rPr>
      <t>B. Déplacements locaux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</si>
  <si>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</si>
  <si>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</si>
  <si>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color rgb="FF70AD47" tint="-0.249977111117893"/>
        <rFont val="Times New Roman"/>
      </rPr>
      <t>Première année - première visite de planification et sélection de la cohorte</t>
    </r>
  </si>
  <si>
    <r>
      <rPr>
        <sz val="12"/>
        <rFont val="Times New Roman"/>
        <family val="1"/>
      </rPr>
      <t>Transports locaux - IP, sous-traitant vers ville principale</t>
    </r>
  </si>
  <si>
    <r>
      <rPr>
        <sz val="12"/>
        <rFont val="Times New Roman"/>
        <family val="1"/>
      </rPr>
      <t>Fixe</t>
    </r>
  </si>
  <si>
    <r>
      <rPr>
        <sz val="12"/>
        <color rgb="FF70AD47" tint="-0.249977111117893"/>
        <rFont val="Times New Roman"/>
      </rPr>
      <t>4</t>
    </r>
    <r>
      <rPr>
        <vertAlign val="superscript"/>
        <sz val="12"/>
        <color rgb="FF70AD47" tint="-0.249977111117893"/>
        <rFont val="Times New Roman"/>
      </rPr>
      <t>e</t>
    </r>
    <r>
      <rPr>
        <sz val="12"/>
        <color rgb="FF70AD47" tint="-0.249977111117893"/>
        <rFont val="Times New Roman"/>
      </rPr>
      <t xml:space="preserve"> année - diffusion à la fin de la surveillance </t>
    </r>
  </si>
  <si>
    <r>
      <rPr>
        <sz val="12"/>
        <rFont val="Times New Roman"/>
        <family val="1"/>
      </rPr>
      <t>Transports locaux - IP à l’intérieur de la ville principale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</si>
  <si>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</si>
  <si>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</si>
  <si>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Transports locaux - sous-traitant à l’intérieur de la ville principale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</si>
  <si>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</si>
  <si>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TRAVAIL SUR LE TERRAIN</t>
    </r>
  </si>
  <si>
    <r>
      <rPr>
        <sz val="12"/>
        <color rgb="FFFF6600"/>
        <rFont val="Times New Roman"/>
        <family val="1"/>
      </rPr>
      <t>Indemnités journalières - sous-traitant, consultant national en technologie mobile</t>
    </r>
  </si>
  <si>
    <r>
      <rPr>
        <sz val="12"/>
        <color rgb="FFFF6600"/>
        <rFont val="Times New Roman"/>
        <family val="1"/>
      </rPr>
      <t>7 jours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</si>
  <si>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</si>
  <si>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Vols locaux - sous-traitant, consultant national en technologie mobile</t>
    </r>
  </si>
  <si>
    <r>
      <rPr>
        <sz val="12"/>
        <color rgb="FFFF6600"/>
        <rFont val="Times New Roman"/>
        <family val="1"/>
      </rPr>
      <t>1 vol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</si>
  <si>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</si>
  <si>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Transports locaux - sous-traitant, consultant national en technologie mobile</t>
    </r>
  </si>
  <si>
    <r>
      <rPr>
        <sz val="12"/>
        <color rgb="FFFF6600"/>
        <rFont val="Times New Roman"/>
        <family val="1"/>
      </rPr>
      <t>7 jours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</si>
  <si>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</si>
  <si>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Sous-total déplacements locaux</t>
    </r>
  </si>
  <si>
    <r>
      <rPr>
        <b/>
        <sz val="12"/>
        <rFont val="Times New Roman"/>
        <family val="1"/>
      </rPr>
      <t>Sous-total déplacements et indemnités journalières</t>
    </r>
  </si>
  <si>
    <r>
      <rPr>
        <b/>
        <sz val="12"/>
        <rFont val="Times New Roman"/>
        <family val="1"/>
      </rPr>
      <t>IV. MATÉRIEL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</si>
  <si>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</si>
  <si>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matériel</t>
    </r>
  </si>
  <si>
    <r>
      <rPr>
        <b/>
        <sz val="12"/>
        <rFont val="Times New Roman"/>
        <family val="1"/>
      </rPr>
      <t>V. FOURNITURES</t>
    </r>
  </si>
  <si>
    <r>
      <rPr>
        <sz val="12"/>
        <color rgb="FFFF6600"/>
        <rFont val="Times New Roman"/>
        <family val="1"/>
      </rPr>
      <t>Technologie de recueil des données mobile (par exemple, tablettes)</t>
    </r>
  </si>
  <si>
    <r>
      <rPr>
        <sz val="12"/>
        <color rgb="FFFF6600"/>
        <rFont val="Times New Roman"/>
        <family val="1"/>
      </rPr>
      <t>1 tablette par équipe + 1 tablette de secours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</si>
  <si>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</si>
  <si>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</si>
  <si>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fournitures</t>
    </r>
  </si>
  <si>
    <r>
      <rPr>
        <b/>
        <sz val="12"/>
        <rFont val="Times New Roman"/>
        <family val="1"/>
      </rPr>
      <t>VI. SOUS-TRAITANCE</t>
    </r>
  </si>
  <si>
    <r>
      <rPr>
        <b/>
        <sz val="12"/>
        <rFont val="Times New Roman"/>
        <family val="1"/>
      </rPr>
      <t>A. Consultants internationaux - assistance technique courte durée</t>
    </r>
  </si>
  <si>
    <r>
      <rPr>
        <u/>
        <sz val="12"/>
        <rFont val="Times New Roman"/>
        <family val="1"/>
      </rPr>
      <t>GÉNÉRAL</t>
    </r>
  </si>
  <si>
    <r>
      <rPr>
        <sz val="12"/>
        <rFont val="Times New Roman"/>
        <family val="1"/>
      </rPr>
      <t>Collecte des données mobile - planification de la surveillance et contrôle qualité global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</si>
  <si>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</si>
  <si>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</si>
  <si>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Collecte des données mobile - planification de la surveillance et contrôle qualité global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</si>
  <si>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</si>
  <si>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       Sous-total consultants internationaux - assistance technique courte durée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</si>
  <si>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</si>
  <si>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</si>
  <si>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</si>
  <si>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</si>
  <si>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</si>
  <si>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</si>
  <si>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</si>
  <si>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</si>
  <si>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</si>
  <si>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</si>
  <si>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</si>
  <si>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</si>
  <si>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</si>
  <si>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</si>
  <si>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</si>
  <si>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</si>
  <si>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</si>
  <si>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</si>
  <si>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Consultants nationaux - assistance technique courte durée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</si>
  <si>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</si>
  <si>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</si>
  <si>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</si>
  <si>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</si>
  <si>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</si>
  <si>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</si>
  <si>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</si>
  <si>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</si>
  <si>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</si>
  <si>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</si>
  <si>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</si>
  <si>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</si>
  <si>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</si>
  <si>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</si>
  <si>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</si>
  <si>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rFont val="Times New Roman"/>
        <family val="1"/>
      </rPr>
      <t>Traducteur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</si>
  <si>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</si>
  <si>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</si>
  <si>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Collecte des données mobile - mise en œuvre de la surveillance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</si>
  <si>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</si>
  <si>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TRAVAIL SUR LE TERRAIN</t>
    </r>
  </si>
  <si>
    <r>
      <rPr>
        <sz val="12"/>
        <color rgb="FFFF6600"/>
        <rFont val="Times New Roman"/>
        <family val="1"/>
      </rPr>
      <t>Collecte des données mobile - mise en œuvre de la surveillance</t>
    </r>
  </si>
  <si>
    <r>
      <rPr>
        <sz val="12"/>
        <color rgb="FFFF6600"/>
        <rFont val="Times New Roman"/>
        <family val="1"/>
      </rPr>
      <t>7 jours par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</si>
  <si>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</si>
  <si>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 xml:space="preserve">        Sous-total consultants nationaux - assistance technique courte durée</t>
    </r>
  </si>
  <si>
    <r>
      <rPr>
        <b/>
        <sz val="12"/>
        <rFont val="Times New Roman"/>
        <family val="1"/>
      </rPr>
      <t>Sous-total consultants</t>
    </r>
  </si>
  <si>
    <r>
      <rPr>
        <b/>
        <sz val="12"/>
        <rFont val="Times New Roman"/>
        <family val="1"/>
      </rPr>
      <t>Sous-total sous-traitance</t>
    </r>
  </si>
  <si>
    <r>
      <rPr>
        <b/>
        <sz val="12"/>
        <rFont val="Times New Roman"/>
        <family val="1"/>
      </rPr>
      <t xml:space="preserve">VII. AUTRES FRAIS DIRECTS </t>
    </r>
  </si>
  <si>
    <r>
      <rPr>
        <b/>
        <sz val="12"/>
        <rFont val="Times New Roman"/>
        <family val="1"/>
      </rPr>
      <t>A. Activités / ateliers / réunions</t>
    </r>
  </si>
  <si>
    <r>
      <rPr>
        <u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</si>
  <si>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Demande d’autorisation auprès des Comités d’éthique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</si>
  <si>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</si>
  <si>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Échantillonnage et transport vers la ville principale 30 moustiquaires par site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</si>
  <si>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</si>
  <si>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Bio-essais</t>
    </r>
  </si>
  <si>
    <r>
      <rPr>
        <sz val="12"/>
        <rFont val="Times New Roman"/>
        <family val="1"/>
      </rPr>
      <t>Envoi international des échantillons vers les laboratoires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</si>
  <si>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</si>
  <si>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</si>
  <si>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Bio-essais (20 $ chacun)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</si>
  <si>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</si>
  <si>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</si>
  <si>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Analyse du taux d’insecticide (30 moustiquaires par site)</t>
    </r>
  </si>
  <si>
    <r>
      <rPr>
        <sz val="12"/>
        <rFont val="Times New Roman"/>
        <family val="1"/>
      </rPr>
      <t>Envoi international des moustiquaires vers le laboratoire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</si>
  <si>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</si>
  <si>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</si>
  <si>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Analyse technico-chimique (100 $ chacune)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</si>
  <si>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</si>
  <si>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</si>
  <si>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Diffusion et publication des résultats</t>
    </r>
  </si>
  <si>
    <r>
      <rPr>
        <sz val="12"/>
        <rFont val="Times New Roman"/>
        <family val="1"/>
      </rPr>
      <t>Atelier de diffusion de fin de surveillance</t>
    </r>
  </si>
  <si>
    <r>
      <rPr>
        <sz val="12"/>
        <rFont val="Times New Roman"/>
        <family val="1"/>
      </rPr>
      <t>Salle, encas/déjeuner, etc.</t>
    </r>
  </si>
  <si>
    <r>
      <rPr>
        <sz val="12"/>
        <rFont val="Times New Roman"/>
        <family val="1"/>
      </rPr>
      <t>Tarif de publication</t>
    </r>
  </si>
  <si>
    <r>
      <rPr>
        <sz val="12"/>
        <rFont val="Times New Roman"/>
        <family val="1"/>
      </rPr>
      <t>Exemple : Malaria Journal</t>
    </r>
  </si>
  <si>
    <r>
      <rPr>
        <u/>
        <sz val="12"/>
        <rFont val="Times New Roman"/>
        <family val="1"/>
      </rPr>
      <t>FORMATION</t>
    </r>
  </si>
  <si>
    <r>
      <rPr>
        <b/>
        <sz val="12"/>
        <rFont val="Times New Roman"/>
        <family val="1"/>
      </rPr>
      <t>Formation du personnel</t>
    </r>
  </si>
  <si>
    <r>
      <rPr>
        <sz val="12"/>
        <color rgb="FFFF6600"/>
        <rFont val="Times New Roman"/>
        <family val="1"/>
      </rPr>
      <t>Superviseur du site</t>
    </r>
  </si>
  <si>
    <r>
      <rPr>
        <sz val="12"/>
        <color rgb="FFFF6600"/>
        <rFont val="Times New Roman"/>
        <family val="1"/>
      </rPr>
      <t xml:space="preserve">1 superviseur / 5 jours de formation 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</si>
  <si>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</si>
  <si>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Investigateurs (3 par site)</t>
    </r>
  </si>
  <si>
    <r>
      <rPr>
        <sz val="12"/>
        <color rgb="FFFF6600"/>
        <rFont val="Times New Roman"/>
        <family val="1"/>
      </rPr>
      <t>3 superviseurs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</si>
  <si>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</si>
  <si>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Représentant local du PNLP (1 par site)</t>
    </r>
  </si>
  <si>
    <r>
      <rPr>
        <sz val="12"/>
        <color rgb="FFFF6600"/>
        <rFont val="Times New Roman"/>
        <family val="1"/>
      </rPr>
      <t>1 représentant du PNLP par site*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</si>
  <si>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</si>
  <si>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Frais d’ateliers de formation</t>
    </r>
  </si>
  <si>
    <r>
      <rPr>
        <sz val="12"/>
        <color rgb="FFFF6600"/>
        <rFont val="Times New Roman"/>
        <family val="1"/>
      </rPr>
      <t>Jours de location de la salle</t>
    </r>
  </si>
  <si>
    <r>
      <rPr>
        <sz val="12"/>
        <color rgb="FFFF6600"/>
        <rFont val="Times New Roman"/>
        <family val="1"/>
      </rPr>
      <t>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</si>
  <si>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</si>
  <si>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Kits supports</t>
    </r>
  </si>
  <si>
    <r>
      <rPr>
        <sz val="12"/>
        <color rgb="FFFF6600"/>
        <rFont val="Times New Roman"/>
        <family val="1"/>
      </rPr>
      <t>5 participants + sous-traitant + 2 consultants + 2 représentants du PNLP / 1 kit chacun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</si>
  <si>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</si>
  <si>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Indemnités journalières nuitées</t>
    </r>
  </si>
  <si>
    <r>
      <rPr>
        <sz val="12"/>
        <color rgb="FFFF6600"/>
        <rFont val="Times New Roman"/>
        <family val="1"/>
      </rPr>
      <t>5 participants par site* / 5 jours de formation (Pas d’indemnité journalière pour le PNLP)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</si>
  <si>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</si>
  <si>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Déplacements atelier - locaux</t>
    </r>
  </si>
  <si>
    <r>
      <rPr>
        <sz val="12"/>
        <color rgb="FFFF6600"/>
        <rFont val="Times New Roman"/>
        <family val="1"/>
      </rPr>
      <t>5 participants par site* / une seule fois pour la formation - pas de déplacement pour le PNLP</t>
    </r>
  </si>
  <si>
    <r>
      <rPr>
        <sz val="12"/>
        <color rgb="FFFF6600"/>
        <rFont val="Times New Roman"/>
        <family val="1"/>
      </rPr>
      <t>Variable</t>
    </r>
  </si>
  <si>
    <r>
      <rPr>
        <u/>
        <sz val="12"/>
        <rFont val="Times New Roman"/>
        <family val="1"/>
      </rPr>
      <t>TRAVAIL SUR LE TERRAIN</t>
    </r>
  </si>
  <si>
    <r>
      <rPr>
        <b/>
        <sz val="12"/>
        <rFont val="Times New Roman"/>
        <family val="1"/>
      </rPr>
      <t>Équipes sur le terrain</t>
    </r>
  </si>
  <si>
    <r>
      <rPr>
        <sz val="12"/>
        <color rgb="FFFF6600"/>
        <rFont val="Times New Roman"/>
        <family val="1"/>
      </rPr>
      <t>Superviseur du site (1)</t>
    </r>
  </si>
  <si>
    <r>
      <rPr>
        <sz val="12"/>
        <color rgb="FFFF6600"/>
        <rFont val="Times New Roman"/>
        <family val="1"/>
      </rPr>
      <t>1 superviseur par site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</si>
  <si>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</si>
  <si>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Investigateurs (3)</t>
    </r>
  </si>
  <si>
    <r>
      <rPr>
        <sz val="12"/>
        <color rgb="FFFF6600"/>
        <rFont val="Times New Roman"/>
        <family val="1"/>
      </rPr>
      <t>3 investigateurs par site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</si>
  <si>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</si>
  <si>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Représentant local du PNLP (1 par site)</t>
    </r>
  </si>
  <si>
    <r>
      <rPr>
        <sz val="12"/>
        <color rgb="FFFF6600"/>
        <rFont val="Times New Roman"/>
        <family val="1"/>
      </rPr>
      <t>1 représentant du PNLP par site*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</si>
  <si>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</si>
  <si>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Frais de travail sur le terrain</t>
    </r>
  </si>
  <si>
    <r>
      <rPr>
        <sz val="12"/>
        <color rgb="FFFF6600"/>
        <rFont val="Times New Roman"/>
        <family val="1"/>
      </rPr>
      <t>Indemnités journalières nuitées</t>
    </r>
  </si>
  <si>
    <r>
      <rPr>
        <sz val="12"/>
        <color rgb="FFFF6600"/>
        <rFont val="Times New Roman"/>
        <family val="1"/>
      </rPr>
      <t>5 participants par site* / 15 jours par site (comprend les représentants du PNLP)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</si>
  <si>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</si>
  <si>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Location de voiture et carburant</t>
    </r>
  </si>
  <si>
    <r>
      <rPr>
        <sz val="12"/>
        <color rgb="FFFF6600"/>
        <rFont val="Times New Roman"/>
        <family val="1"/>
      </rPr>
      <t>15 jours par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</si>
  <si>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</si>
  <si>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Autres frais de travail sur le terrain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</si>
  <si>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</si>
  <si>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</si>
  <si>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activités / ateliers / réunions</t>
    </r>
  </si>
  <si>
    <r>
      <rPr>
        <b/>
        <sz val="12"/>
        <rFont val="Times New Roman"/>
        <family val="1"/>
      </rPr>
      <t>Sous-total autres frais directs</t>
    </r>
  </si>
  <si>
    <r>
      <rPr>
        <b/>
        <sz val="12"/>
        <rFont val="Times New Roman"/>
        <family val="1"/>
      </rPr>
      <t>TOTAL FRAIS DIRECTS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</si>
  <si>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</si>
  <si>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VIII.  FRAIS INDIRECTS :</t>
    </r>
  </si>
  <si>
    <r>
      <rPr>
        <sz val="12"/>
        <rFont val="Times New Roman"/>
        <family val="1"/>
      </rPr>
      <t>%</t>
    </r>
  </si>
  <si>
    <r>
      <rPr>
        <b/>
        <sz val="12"/>
        <rFont val="Times New Roman"/>
        <family val="1"/>
      </rPr>
      <t>COÛT TOTAL DU PROJET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</si>
  <si>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</si>
  <si>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*En partant du principe que la participation du PNLP engendre uniquement des indemnités journalières et des frais de transport, mais pas de tarif journalier.</t>
    </r>
  </si>
  <si>
    <r>
      <rPr>
        <sz val="12"/>
        <rFont val="Times New Roman"/>
        <family val="1"/>
      </rPr>
      <t>Institution chargée de gérer l’étude</t>
    </r>
  </si>
  <si>
    <r>
      <rPr>
        <b/>
        <sz val="12"/>
        <rFont val="Times New Roman"/>
        <family val="1"/>
      </rPr>
      <t>Budget alloué à : [Institution]</t>
    </r>
  </si>
  <si>
    <r>
      <rPr>
        <sz val="12"/>
        <rFont val="Times New Roman"/>
        <family val="1"/>
      </rPr>
      <t xml:space="preserve">Projet n° </t>
    </r>
  </si>
  <si>
    <r>
      <rPr>
        <sz val="12"/>
        <rFont val="Times New Roman"/>
        <family val="1"/>
      </rPr>
      <t>Nom du projet :</t>
    </r>
  </si>
  <si>
    <r>
      <rPr>
        <b/>
        <sz val="12"/>
        <rFont val="Times New Roman"/>
        <family val="1"/>
      </rPr>
      <t>SURVEILLANCE DE LA DURABILITÉ [pays] - 1 équipe de terrain</t>
    </r>
  </si>
  <si>
    <r>
      <rPr>
        <b/>
        <sz val="12"/>
        <color rgb="FF7030A0"/>
        <rFont val="Times New Roman"/>
        <family val="1"/>
      </rPr>
      <t>Taux de charges sociales pour le personnel</t>
    </r>
  </si>
  <si>
    <r>
      <rPr>
        <sz val="12"/>
        <rFont val="Times New Roman"/>
        <family val="1"/>
      </rPr>
      <t>Ajuster si nécessaire</t>
    </r>
  </si>
  <si>
    <r>
      <rPr>
        <b/>
        <sz val="12"/>
        <color rgb="FF7030A0"/>
        <rFont val="Times New Roman"/>
        <family val="1"/>
      </rPr>
      <t>Taux frais indirects</t>
    </r>
  </si>
  <si>
    <r>
      <rPr>
        <sz val="12"/>
        <rFont val="Times New Roman"/>
        <family val="1"/>
      </rPr>
      <t>Ajuster si nécessaire</t>
    </r>
  </si>
  <si>
    <r>
      <rPr>
        <b/>
        <sz val="12"/>
        <color rgb="FF7030A0"/>
        <rFont val="Times New Roman"/>
        <family val="1"/>
      </rPr>
      <t>Taux d’inflation annuel</t>
    </r>
  </si>
  <si>
    <r>
      <rPr>
        <sz val="12"/>
        <rFont val="Times New Roman"/>
        <family val="1"/>
      </rPr>
      <t xml:space="preserve">Ajuster si nécessaire </t>
    </r>
  </si>
  <si>
    <r>
      <rPr>
        <b/>
        <sz val="12"/>
        <color rgb="FF7030A0"/>
        <rFont val="Times New Roman"/>
        <family val="1"/>
      </rPr>
      <t>Nombre de sites de surveillance</t>
    </r>
  </si>
  <si>
    <r>
      <rPr>
        <sz val="12"/>
        <rFont val="Times New Roman"/>
        <family val="1"/>
      </rPr>
      <t>Ajuster si nécessaire</t>
    </r>
  </si>
  <si>
    <r>
      <rPr>
        <b/>
        <sz val="12"/>
        <rFont val="Times New Roman"/>
        <family val="1"/>
      </rPr>
      <t>1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</si>
  <si>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b/>
        <sz val="12"/>
        <rFont val="Times New Roman"/>
        <family val="1"/>
      </rPr>
      <t>2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</si>
  <si>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b/>
        <sz val="12"/>
        <rFont val="Times New Roman"/>
        <family val="1"/>
      </rPr>
      <t>3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</si>
  <si>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sz val="12"/>
        <rFont val="Times New Roman"/>
        <family val="1"/>
      </rPr>
      <t>TYPE DE FRAIS</t>
    </r>
  </si>
  <si>
    <r>
      <rPr>
        <b/>
        <sz val="12"/>
        <rFont val="Times New Roman"/>
        <family val="1"/>
      </rPr>
      <t>Budget détaillé pour la surveillance de la durabilité</t>
    </r>
  </si>
  <si>
    <r>
      <rPr>
        <sz val="12"/>
        <rFont val="Times New Roman"/>
        <family val="1"/>
      </rPr>
      <t>Le coût varie-t-il</t>
    </r>
  </si>
  <si>
    <r>
      <rPr>
        <sz val="12"/>
        <rFont val="Times New Roman"/>
        <family val="1"/>
      </rPr>
      <t>Début de l’étude</t>
    </r>
  </si>
  <si>
    <r>
      <rPr>
        <sz val="12"/>
        <rFont val="Times New Roman"/>
        <family val="1"/>
      </rPr>
      <t>12 mois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</si>
  <si>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</si>
  <si>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</si>
  <si>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 xml:space="preserve">TOTAL </t>
    </r>
  </si>
  <si>
    <r>
      <rPr>
        <sz val="12"/>
        <color rgb="FFFF0000"/>
        <rFont val="Times New Roman"/>
      </rPr>
      <t>Vérifications</t>
    </r>
  </si>
  <si>
    <r>
      <rPr>
        <sz val="12"/>
        <rFont val="Times New Roman"/>
        <family val="1"/>
      </rPr>
      <t>en fonction du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</si>
  <si>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</si>
  <si>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</si>
  <si>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</si>
  <si>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</si>
  <si>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</si>
  <si>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DESCRIPTION DU POSTE BUDGÉTAIRE</t>
    </r>
  </si>
  <si>
    <r>
      <rPr>
        <sz val="12"/>
        <rFont val="Times New Roman"/>
        <family val="1"/>
      </rPr>
      <t>nombre de sites ?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</si>
  <si>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</si>
  <si>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</si>
  <si>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</si>
  <si>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</si>
  <si>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</si>
  <si>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</si>
  <si>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</si>
  <si>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</si>
  <si>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</si>
  <si>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</si>
  <si>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</si>
  <si>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</si>
  <si>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b/>
        <sz val="12"/>
        <rFont val="Times New Roman"/>
        <family val="1"/>
      </rPr>
      <t>UNITÉS</t>
    </r>
  </si>
  <si>
    <r>
      <rPr>
        <b/>
        <sz val="12"/>
        <rFont val="Times New Roman"/>
        <family val="1"/>
      </rPr>
      <t>TOTAL (en $)</t>
    </r>
  </si>
  <si>
    <r>
      <rPr>
        <b/>
        <sz val="12"/>
        <rFont val="Times New Roman"/>
        <family val="1"/>
      </rPr>
      <t>I. PERSONNEL (ÉQUIPES SALARIÉES)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</si>
  <si>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</si>
  <si>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</si>
  <si>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Assistance technique de courte durée depuis le siège</t>
    </r>
  </si>
  <si>
    <r>
      <rPr>
        <sz val="12"/>
        <rFont val="Times New Roman"/>
        <family val="1"/>
      </rPr>
      <t>IP - général / prép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</si>
  <si>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</si>
  <si>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IP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</si>
  <si>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</si>
  <si>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IP - travail sur le terrain</t>
    </r>
  </si>
  <si>
    <r>
      <rPr>
        <sz val="12"/>
        <color rgb="FFFF6600"/>
        <rFont val="Times New Roman"/>
        <family val="1"/>
      </rPr>
      <t>2 jours par site (assistance depuis les bureaux et analyse des données)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</si>
  <si>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</si>
  <si>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Gestion administrative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</si>
  <si>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</si>
  <si>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Supervision de la gestion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</si>
  <si>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</si>
  <si>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Gestion financière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</si>
  <si>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</si>
  <si>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   Sous-total assistance technique de courte durée depuis le siège</t>
    </r>
  </si>
  <si>
    <r>
      <rPr>
        <b/>
        <sz val="12"/>
        <rFont val="Times New Roman"/>
        <family val="1"/>
      </rPr>
      <t>B. Salaires et charges sociales des équipes nationales</t>
    </r>
  </si>
  <si>
    <r>
      <rPr>
        <sz val="12"/>
        <rFont val="Times New Roman"/>
        <family val="1"/>
      </rPr>
      <t>Coordinateur de la surveillance - général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</si>
  <si>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</si>
  <si>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Coordinateur de la surveillance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</si>
  <si>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</si>
  <si>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Coordinateur de la surveillance - travail sur le terrain</t>
    </r>
  </si>
  <si>
    <r>
      <rPr>
        <sz val="12"/>
        <color rgb="FFFF6600"/>
        <rFont val="Times New Roman"/>
        <family val="1"/>
      </rPr>
      <t>9 jours par site (7 jours sur le terrain et 2 jours de nettoyage, analyse et reporting)</t>
    </r>
  </si>
  <si>
    <r>
      <rPr>
        <sz val="12"/>
        <color rgb="FFFF6600"/>
        <rFont val="Times New Roman"/>
        <family val="1"/>
      </rPr>
      <t xml:space="preserve">Variable </t>
    </r>
  </si>
  <si>
    <r>
      <rPr>
        <b/>
        <sz val="12"/>
        <rFont val="Times New Roman"/>
        <family val="1"/>
      </rPr>
      <t>Sous-total salaires et charges sociales des équipes nationales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</si>
  <si>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</si>
  <si>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salaires et traitements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</si>
  <si>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</si>
  <si>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II.   CHARGES SOCIALES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</si>
  <si>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</si>
  <si>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</si>
  <si>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</si>
  <si>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</si>
  <si>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Salaires siège sur place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</si>
  <si>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</si>
  <si>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Salaires siège autre lieu</t>
    </r>
  </si>
  <si>
    <r>
      <rPr>
        <b/>
        <sz val="12"/>
        <rFont val="Times New Roman"/>
        <family val="1"/>
      </rPr>
      <t>Sous-total charges sociales</t>
    </r>
  </si>
  <si>
    <r>
      <rPr>
        <b/>
        <sz val="12"/>
        <rFont val="Times New Roman"/>
        <family val="1"/>
      </rPr>
      <t>III. DÉPLACEMENTS ET INDEMNITÉS JOURNALIÈRES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</si>
  <si>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</si>
  <si>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Déplacements internationaux - assistance technique courte durée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</si>
  <si>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</si>
  <si>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</si>
  <si>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color rgb="FF70AD47" tint="-0.249977111117893"/>
        <rFont val="Times New Roman"/>
      </rPr>
      <t>Première année - première visite de planification et sélection de la cohorte</t>
    </r>
  </si>
  <si>
    <r>
      <rPr>
        <sz val="12"/>
        <rFont val="Times New Roman"/>
        <family val="1"/>
      </rPr>
      <t>Billets d’avion aller-retour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</si>
  <si>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</si>
  <si>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</si>
  <si>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</si>
  <si>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IP</t>
    </r>
  </si>
  <si>
    <r>
      <rPr>
        <sz val="12"/>
        <rFont val="Times New Roman"/>
        <family val="1"/>
      </rPr>
      <t>Fixe</t>
    </r>
  </si>
  <si>
    <r>
      <rPr>
        <sz val="12"/>
        <color rgb="FF70AD47" tint="-0.249977111117893"/>
        <rFont val="Times New Roman"/>
      </rPr>
      <t>4</t>
    </r>
    <r>
      <rPr>
        <vertAlign val="superscript"/>
        <sz val="12"/>
        <color rgb="FF70AD47" tint="-0.249977111117893"/>
        <rFont val="Times New Roman"/>
      </rPr>
      <t>e</t>
    </r>
    <r>
      <rPr>
        <sz val="12"/>
        <color rgb="FF70AD47" tint="-0.249977111117893"/>
        <rFont val="Times New Roman"/>
      </rPr>
      <t xml:space="preserve"> année - diffusion à la fin de la surveillance </t>
    </r>
  </si>
  <si>
    <r>
      <rPr>
        <sz val="12"/>
        <rFont val="Times New Roman"/>
        <family val="1"/>
      </rPr>
      <t>Billets d’avion aller-retour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</si>
  <si>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</si>
  <si>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</si>
  <si>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</si>
  <si>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IP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</si>
  <si>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</si>
  <si>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</si>
  <si>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Billets d’avion aller-retour consultant international en technologie mobile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</si>
  <si>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</si>
  <si>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consultant international en technologie mobile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</si>
  <si>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</si>
  <si>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consultant international en technologie mobile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</si>
  <si>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</si>
  <si>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Sous-total déplacements internationaux - assistance technique courte durée</t>
    </r>
  </si>
  <si>
    <r>
      <rPr>
        <b/>
        <sz val="12"/>
        <rFont val="Times New Roman"/>
        <family val="1"/>
      </rPr>
      <t>B. Déplacements locaux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</si>
  <si>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</si>
  <si>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</si>
  <si>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color rgb="FF70AD47" tint="-0.249977111117893"/>
        <rFont val="Times New Roman"/>
      </rPr>
      <t>Première année - première visite de planification et sélection de la cohorte</t>
    </r>
  </si>
  <si>
    <r>
      <rPr>
        <sz val="12"/>
        <rFont val="Times New Roman"/>
        <family val="1"/>
      </rPr>
      <t>Transports locaux - IP, sous-traitant vers ville principale</t>
    </r>
  </si>
  <si>
    <r>
      <rPr>
        <sz val="12"/>
        <rFont val="Times New Roman"/>
        <family val="1"/>
      </rPr>
      <t>Fixe</t>
    </r>
  </si>
  <si>
    <r>
      <rPr>
        <sz val="12"/>
        <color rgb="FF70AD47" tint="-0.249977111117893"/>
        <rFont val="Times New Roman"/>
      </rPr>
      <t>4</t>
    </r>
    <r>
      <rPr>
        <vertAlign val="superscript"/>
        <sz val="12"/>
        <color rgb="FF70AD47" tint="-0.249977111117893"/>
        <rFont val="Times New Roman"/>
      </rPr>
      <t>e</t>
    </r>
    <r>
      <rPr>
        <sz val="12"/>
        <color rgb="FF70AD47" tint="-0.249977111117893"/>
        <rFont val="Times New Roman"/>
      </rPr>
      <t xml:space="preserve"> année - diffusion à la fin de la surveillance </t>
    </r>
  </si>
  <si>
    <r>
      <rPr>
        <sz val="12"/>
        <rFont val="Times New Roman"/>
        <family val="1"/>
      </rPr>
      <t>Transports locaux - IP à l’intérieur de la ville principale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</si>
  <si>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</si>
  <si>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</si>
  <si>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Transports locaux - sous-traitant à l’intérieur de la ville principale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</si>
  <si>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</si>
  <si>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TRAVAIL SUR LE TERRAIN</t>
    </r>
  </si>
  <si>
    <r>
      <rPr>
        <sz val="12"/>
        <color rgb="FFFF6600"/>
        <rFont val="Times New Roman"/>
        <family val="1"/>
      </rPr>
      <t>Indemnités journalières - sous-traitant, consultant national en technologie mobile</t>
    </r>
  </si>
  <si>
    <r>
      <rPr>
        <sz val="12"/>
        <color rgb="FFFF6600"/>
        <rFont val="Times New Roman"/>
        <family val="1"/>
      </rPr>
      <t>7 jours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</si>
  <si>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</si>
  <si>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Vols locaux - sous-traitant, consultant national en technologie mobile</t>
    </r>
  </si>
  <si>
    <r>
      <rPr>
        <sz val="12"/>
        <color rgb="FFFF6600"/>
        <rFont val="Times New Roman"/>
        <family val="1"/>
      </rPr>
      <t>1 vol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</si>
  <si>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</si>
  <si>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Transports locaux - sous-traitant, consultant national en technologie mobile</t>
    </r>
  </si>
  <si>
    <r>
      <rPr>
        <sz val="12"/>
        <color rgb="FFFF6600"/>
        <rFont val="Times New Roman"/>
        <family val="1"/>
      </rPr>
      <t>7 jours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</si>
  <si>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</si>
  <si>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Sous-total déplacements locaux</t>
    </r>
  </si>
  <si>
    <r>
      <rPr>
        <b/>
        <sz val="12"/>
        <rFont val="Times New Roman"/>
        <family val="1"/>
      </rPr>
      <t>Sous-total déplacements et indemnités journalières</t>
    </r>
  </si>
  <si>
    <r>
      <rPr>
        <b/>
        <sz val="12"/>
        <rFont val="Times New Roman"/>
        <family val="1"/>
      </rPr>
      <t>IV. MATÉRIEL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</si>
  <si>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</si>
  <si>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matériel</t>
    </r>
  </si>
  <si>
    <r>
      <rPr>
        <b/>
        <sz val="12"/>
        <rFont val="Times New Roman"/>
        <family val="1"/>
      </rPr>
      <t>V. FOURNITURES</t>
    </r>
  </si>
  <si>
    <r>
      <rPr>
        <sz val="12"/>
        <color rgb="FFFF6600"/>
        <rFont val="Times New Roman"/>
        <family val="1"/>
      </rPr>
      <t>Technologie de recueil des données mobile (par exemple, tablettes)</t>
    </r>
  </si>
  <si>
    <r>
      <rPr>
        <sz val="12"/>
        <color rgb="FFFF6600"/>
        <rFont val="Times New Roman"/>
        <family val="1"/>
      </rPr>
      <t>1 tablette par équipe + 1 tablette de secours par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</si>
  <si>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</si>
  <si>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</si>
  <si>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fournitures</t>
    </r>
  </si>
  <si>
    <r>
      <rPr>
        <b/>
        <sz val="12"/>
        <rFont val="Times New Roman"/>
        <family val="1"/>
      </rPr>
      <t>VI. SOUS-TRAITANCE</t>
    </r>
  </si>
  <si>
    <r>
      <rPr>
        <b/>
        <sz val="12"/>
        <rFont val="Times New Roman"/>
        <family val="1"/>
      </rPr>
      <t>A. Consultants internationaux - assistance technique courte durée</t>
    </r>
  </si>
  <si>
    <r>
      <rPr>
        <u/>
        <sz val="12"/>
        <rFont val="Times New Roman"/>
        <family val="1"/>
      </rPr>
      <t>GÉNÉRAL</t>
    </r>
  </si>
  <si>
    <r>
      <rPr>
        <sz val="12"/>
        <rFont val="Times New Roman"/>
        <family val="1"/>
      </rPr>
      <t>Collecte des données mobile - planification de la surveillance et contrôle qualité global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</si>
  <si>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</si>
  <si>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</si>
  <si>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Collecte des données mobile - planification de la surveillance et contrôle qualité global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</si>
  <si>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</si>
  <si>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       Sous-total consultants internationaux - assistance technique courte durée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</si>
  <si>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</si>
  <si>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</si>
  <si>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</si>
  <si>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</si>
  <si>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</si>
  <si>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</si>
  <si>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</si>
  <si>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</si>
  <si>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</si>
  <si>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</si>
  <si>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</si>
  <si>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</si>
  <si>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</si>
  <si>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</si>
  <si>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</si>
  <si>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</si>
  <si>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</si>
  <si>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</si>
  <si>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Consultants nationaux - assistance technique courte durée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</si>
  <si>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</si>
  <si>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</si>
  <si>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</si>
  <si>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</si>
  <si>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</si>
  <si>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</si>
  <si>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</si>
  <si>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</si>
  <si>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</si>
  <si>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</si>
  <si>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</si>
  <si>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</si>
  <si>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</si>
  <si>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</si>
  <si>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</si>
  <si>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rFont val="Times New Roman"/>
        <family val="1"/>
      </rPr>
      <t>Traducteur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</si>
  <si>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</si>
  <si>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</si>
  <si>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Collecte des données mobile - mise en œuvre de la surveillance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</si>
  <si>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</si>
  <si>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TRAVAIL SUR LE TERRAIN</t>
    </r>
  </si>
  <si>
    <r>
      <rPr>
        <sz val="12"/>
        <color rgb="FFFF6600"/>
        <rFont val="Times New Roman"/>
        <family val="1"/>
      </rPr>
      <t>Collecte des données mobile - mise en œuvre de la surveillance</t>
    </r>
  </si>
  <si>
    <r>
      <rPr>
        <sz val="12"/>
        <color rgb="FFFF6600"/>
        <rFont val="Times New Roman"/>
        <family val="1"/>
      </rPr>
      <t>7 jours par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</si>
  <si>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</si>
  <si>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 xml:space="preserve">        Sous-total consultants nationaux - assistance technique courte durée</t>
    </r>
  </si>
  <si>
    <r>
      <rPr>
        <b/>
        <sz val="12"/>
        <rFont val="Times New Roman"/>
        <family val="1"/>
      </rPr>
      <t>Sous-total consultants</t>
    </r>
  </si>
  <si>
    <r>
      <rPr>
        <b/>
        <sz val="12"/>
        <rFont val="Times New Roman"/>
        <family val="1"/>
      </rPr>
      <t>Sous-total sous-traitance</t>
    </r>
  </si>
  <si>
    <r>
      <rPr>
        <b/>
        <sz val="12"/>
        <rFont val="Times New Roman"/>
        <family val="1"/>
      </rPr>
      <t xml:space="preserve">VII. AUTRES FRAIS DIRECTS </t>
    </r>
  </si>
  <si>
    <r>
      <rPr>
        <b/>
        <sz val="12"/>
        <rFont val="Times New Roman"/>
        <family val="1"/>
      </rPr>
      <t>A. Activités / ateliers / réunions</t>
    </r>
  </si>
  <si>
    <r>
      <rPr>
        <u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</si>
  <si>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Demande d’autorisation auprès des Comités d’éthique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</si>
  <si>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</si>
  <si>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Échantillonnage et transport vers la ville principale 30 moustiquaires par site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</si>
  <si>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</si>
  <si>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Bio-essais</t>
    </r>
  </si>
  <si>
    <r>
      <rPr>
        <sz val="12"/>
        <rFont val="Times New Roman"/>
        <family val="1"/>
      </rPr>
      <t>Envoi international des échantillons vers les laboratoires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</si>
  <si>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</si>
  <si>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Bio-essais (20 $ chacun)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</si>
  <si>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</si>
  <si>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</si>
  <si>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Analyse du taux d’insecticide (30 moustiquaires par site)</t>
    </r>
  </si>
  <si>
    <r>
      <rPr>
        <sz val="12"/>
        <rFont val="Times New Roman"/>
        <family val="1"/>
      </rPr>
      <t>Envoi international des moustiquaires vers le laboratoire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</si>
  <si>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</si>
  <si>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</si>
  <si>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Analyse technico-chimique (100 $ chacune)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</si>
  <si>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</si>
  <si>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</si>
  <si>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Diffusion et publication des résultats</t>
    </r>
  </si>
  <si>
    <r>
      <rPr>
        <sz val="12"/>
        <rFont val="Times New Roman"/>
        <family val="1"/>
      </rPr>
      <t>Atelier de diffusion de fin de surveillance</t>
    </r>
  </si>
  <si>
    <r>
      <rPr>
        <sz val="12"/>
        <rFont val="Times New Roman"/>
        <family val="1"/>
      </rPr>
      <t>Salle, encas/déjeuner, etc.</t>
    </r>
  </si>
  <si>
    <r>
      <rPr>
        <sz val="12"/>
        <rFont val="Times New Roman"/>
        <family val="1"/>
      </rPr>
      <t>Tarif de publication</t>
    </r>
  </si>
  <si>
    <r>
      <rPr>
        <sz val="12"/>
        <rFont val="Times New Roman"/>
        <family val="1"/>
      </rPr>
      <t>Exemple : Malaria Journal</t>
    </r>
  </si>
  <si>
    <r>
      <rPr>
        <u/>
        <sz val="12"/>
        <rFont val="Times New Roman"/>
        <family val="1"/>
      </rPr>
      <t>FORMATION</t>
    </r>
  </si>
  <si>
    <r>
      <rPr>
        <b/>
        <sz val="12"/>
        <rFont val="Times New Roman"/>
        <family val="1"/>
      </rPr>
      <t>Formation du personnel</t>
    </r>
  </si>
  <si>
    <r>
      <rPr>
        <sz val="12"/>
        <color rgb="FFFF6600"/>
        <rFont val="Times New Roman"/>
        <family val="1"/>
      </rPr>
      <t>Superviseur du site</t>
    </r>
  </si>
  <si>
    <r>
      <rPr>
        <sz val="12"/>
        <color rgb="FFFF6600"/>
        <rFont val="Times New Roman"/>
        <family val="1"/>
      </rPr>
      <t>1 superviseur par site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</si>
  <si>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</si>
  <si>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Investigateurs (3 par site)</t>
    </r>
  </si>
  <si>
    <r>
      <rPr>
        <sz val="12"/>
        <color rgb="FFFF6600"/>
        <rFont val="Times New Roman"/>
        <family val="1"/>
      </rPr>
      <t>3 investigateurs par site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</si>
  <si>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</si>
  <si>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Représentant local du PNLP (1 par site)</t>
    </r>
  </si>
  <si>
    <r>
      <rPr>
        <sz val="12"/>
        <color rgb="FFFF6600"/>
        <rFont val="Times New Roman"/>
        <family val="1"/>
      </rPr>
      <t>1 représentant du PNLP par site*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</si>
  <si>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</si>
  <si>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Frais d’ateliers de formation</t>
    </r>
  </si>
  <si>
    <r>
      <rPr>
        <sz val="12"/>
        <color rgb="FFFF6600"/>
        <rFont val="Times New Roman"/>
        <family val="1"/>
      </rPr>
      <t>Jours de location de la salle</t>
    </r>
  </si>
  <si>
    <r>
      <rPr>
        <sz val="12"/>
        <color rgb="FFFF6600"/>
        <rFont val="Times New Roman"/>
        <family val="1"/>
      </rPr>
      <t>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</si>
  <si>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</si>
  <si>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Kits supports</t>
    </r>
  </si>
  <si>
    <r>
      <rPr>
        <sz val="12"/>
        <color rgb="FFFF6600"/>
        <rFont val="Times New Roman"/>
        <family val="1"/>
      </rPr>
      <t>5 participants par site + sous-traitant + 2 consultants + représentants du PNLP par site / un kit chacun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</si>
  <si>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</si>
  <si>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Indemnités journalières nuitées</t>
    </r>
  </si>
  <si>
    <r>
      <rPr>
        <sz val="12"/>
        <color rgb="FFFF6600"/>
        <rFont val="Times New Roman"/>
        <family val="1"/>
      </rPr>
      <t>5 participants par site* / 5 jours de formation Comprend les représentants du PNLP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</si>
  <si>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</si>
  <si>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Déplacements atelier - locaux</t>
    </r>
  </si>
  <si>
    <r>
      <rPr>
        <sz val="12"/>
        <color rgb="FFFF6600"/>
        <rFont val="Times New Roman"/>
        <family val="1"/>
      </rPr>
      <t>5 participants par site* / une seule fois pour la formation - comprend les représentants du PNLP</t>
    </r>
  </si>
  <si>
    <r>
      <rPr>
        <sz val="12"/>
        <color rgb="FFFF6600"/>
        <rFont val="Times New Roman"/>
        <family val="1"/>
      </rPr>
      <t>Variable</t>
    </r>
  </si>
  <si>
    <r>
      <rPr>
        <u/>
        <sz val="12"/>
        <rFont val="Times New Roman"/>
        <family val="1"/>
      </rPr>
      <t>TRAVAIL SUR LE TERRAIN</t>
    </r>
  </si>
  <si>
    <r>
      <rPr>
        <b/>
        <sz val="12"/>
        <rFont val="Times New Roman"/>
        <family val="1"/>
      </rPr>
      <t>Équipes sur le terrain</t>
    </r>
  </si>
  <si>
    <r>
      <rPr>
        <sz val="12"/>
        <color rgb="FFFF6600"/>
        <rFont val="Times New Roman"/>
        <family val="1"/>
      </rPr>
      <t>Chef de groupe du site (1 par site)</t>
    </r>
  </si>
  <si>
    <r>
      <rPr>
        <sz val="12"/>
        <color rgb="FFFF6600"/>
        <rFont val="Times New Roman"/>
        <family val="1"/>
      </rPr>
      <t>1 superviseur par site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</si>
  <si>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</si>
  <si>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Investigateurs (3 par site)</t>
    </r>
  </si>
  <si>
    <r>
      <rPr>
        <sz val="12"/>
        <color rgb="FFFF6600"/>
        <rFont val="Times New Roman"/>
        <family val="1"/>
      </rPr>
      <t>3 investigateurs par site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</si>
  <si>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</si>
  <si>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Représentant local du PNLP (1 par site)</t>
    </r>
  </si>
  <si>
    <r>
      <rPr>
        <sz val="12"/>
        <color rgb="FFFF6600"/>
        <rFont val="Times New Roman"/>
        <family val="1"/>
      </rPr>
      <t>1 représentant du PNLP par site*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</si>
  <si>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</si>
  <si>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Frais de travail sur le terrain</t>
    </r>
  </si>
  <si>
    <r>
      <rPr>
        <sz val="12"/>
        <color rgb="FFFF6600"/>
        <rFont val="Times New Roman"/>
        <family val="1"/>
      </rPr>
      <t>Indemnités journalières nuitées</t>
    </r>
  </si>
  <si>
    <r>
      <rPr>
        <sz val="12"/>
        <color rgb="FFFF6600"/>
        <rFont val="Times New Roman"/>
        <family val="1"/>
      </rPr>
      <t>5 participants par site* / 15 jours par site (comprend les représentants du PNLP)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</si>
  <si>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</si>
  <si>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Location de voiture et carburant</t>
    </r>
  </si>
  <si>
    <r>
      <rPr>
        <sz val="12"/>
        <color rgb="FFFF6600"/>
        <rFont val="Times New Roman"/>
        <family val="1"/>
      </rPr>
      <t>15 jours par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</si>
  <si>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</si>
  <si>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Autres frais de travail sur le terrain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</si>
  <si>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</si>
  <si>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</si>
  <si>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activités / ateliers / réunions</t>
    </r>
  </si>
  <si>
    <r>
      <rPr>
        <b/>
        <sz val="12"/>
        <rFont val="Times New Roman"/>
        <family val="1"/>
      </rPr>
      <t>Sous-total autres frais directs</t>
    </r>
  </si>
  <si>
    <r>
      <rPr>
        <b/>
        <sz val="12"/>
        <rFont val="Times New Roman"/>
        <family val="1"/>
      </rPr>
      <t>TOTAL FRAIS DIRECTS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</si>
  <si>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</si>
  <si>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VIII.  FRAIS INDIRECTS :</t>
    </r>
  </si>
  <si>
    <r>
      <rPr>
        <sz val="12"/>
        <rFont val="Times New Roman"/>
        <family val="1"/>
      </rPr>
      <t>%</t>
    </r>
  </si>
  <si>
    <r>
      <rPr>
        <b/>
        <sz val="12"/>
        <rFont val="Times New Roman"/>
        <family val="1"/>
      </rPr>
      <t>COÛT TOTAL DU PROJET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</si>
  <si>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</si>
  <si>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*En partant du principe que la participation du PNLP engendre uniquement des indemnités journalières et des frais de transport, mais pas de tarif journalier.</t>
    </r>
  </si>
  <si>
    <r>
      <rPr>
        <sz val="12"/>
        <rFont val="Times New Roman"/>
        <family val="1"/>
      </rPr>
      <t>Institution chargée de gérer l’étude</t>
    </r>
  </si>
  <si>
    <r>
      <rPr>
        <b/>
        <sz val="12"/>
        <rFont val="Times New Roman"/>
        <family val="1"/>
      </rPr>
      <t>Budget alloué à : [Institution]</t>
    </r>
  </si>
  <si>
    <r>
      <rPr>
        <sz val="12"/>
        <rFont val="Times New Roman"/>
        <family val="1"/>
      </rPr>
      <t xml:space="preserve">Projet n° </t>
    </r>
  </si>
  <si>
    <r>
      <rPr>
        <sz val="12"/>
        <rFont val="Times New Roman"/>
        <family val="1"/>
      </rPr>
      <t>Nom du projet :</t>
    </r>
  </si>
  <si>
    <r>
      <rPr>
        <b/>
        <sz val="12"/>
        <rFont val="Times New Roman"/>
        <family val="1"/>
      </rPr>
      <t>SURVEILLANCE DE LA DURABILITÉ [pays] - 1 équipe de terrain</t>
    </r>
  </si>
  <si>
    <r>
      <rPr>
        <b/>
        <sz val="12"/>
        <color rgb="FF7030A0"/>
        <rFont val="Times New Roman"/>
        <family val="1"/>
      </rPr>
      <t>Taux de charges sociales pour le personnel</t>
    </r>
  </si>
  <si>
    <r>
      <rPr>
        <sz val="12"/>
        <rFont val="Times New Roman"/>
        <family val="1"/>
      </rPr>
      <t>Ajuster si nécessaire</t>
    </r>
  </si>
  <si>
    <r>
      <rPr>
        <b/>
        <sz val="12"/>
        <color rgb="FF7030A0"/>
        <rFont val="Times New Roman"/>
        <family val="1"/>
      </rPr>
      <t>Taux frais indirects</t>
    </r>
  </si>
  <si>
    <r>
      <rPr>
        <sz val="12"/>
        <rFont val="Times New Roman"/>
        <family val="1"/>
      </rPr>
      <t>Ajuster si nécessaire</t>
    </r>
  </si>
  <si>
    <r>
      <rPr>
        <b/>
        <sz val="12"/>
        <color rgb="FF7030A0"/>
        <rFont val="Times New Roman"/>
        <family val="1"/>
      </rPr>
      <t>Taux d’inflation annuel</t>
    </r>
  </si>
  <si>
    <r>
      <rPr>
        <sz val="12"/>
        <rFont val="Times New Roman"/>
        <family val="1"/>
      </rPr>
      <t xml:space="preserve">Ajuster si nécessaire </t>
    </r>
  </si>
  <si>
    <r>
      <rPr>
        <b/>
        <sz val="12"/>
        <color rgb="FF7030A0"/>
        <rFont val="Times New Roman"/>
        <family val="1"/>
      </rPr>
      <t>Nombre de sites de surveillance</t>
    </r>
  </si>
  <si>
    <r>
      <rPr>
        <sz val="12"/>
        <rFont val="Times New Roman"/>
        <family val="1"/>
      </rPr>
      <t>Ajuster si nécessaire</t>
    </r>
  </si>
  <si>
    <r>
      <rPr>
        <b/>
        <sz val="12"/>
        <rFont val="Times New Roman"/>
        <family val="1"/>
      </rPr>
      <t>1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</si>
  <si>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b/>
        <sz val="12"/>
        <rFont val="Times New Roman"/>
        <family val="1"/>
      </rPr>
      <t>2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</si>
  <si>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b/>
        <sz val="12"/>
        <rFont val="Times New Roman"/>
        <family val="1"/>
      </rPr>
      <t>3</t>
    </r>
    <r>
      <rPr>
        <b/>
        <vertAlign val="superscript"/>
        <sz val="12"/>
        <rFont val="Times New Roman"/>
      </rPr>
      <t>e</t>
    </r>
    <r>
      <rPr>
        <b/>
        <sz val="12"/>
        <rFont val="Times New Roman"/>
        <family val="1"/>
      </rPr>
      <t xml:space="preserve"> année</t>
    </r>
  </si>
  <si>
    <r>
      <rPr>
        <sz val="12"/>
        <rFont val="Times New Roman"/>
        <family val="1"/>
      </rPr>
      <t>TYPE DE FRAIS</t>
    </r>
  </si>
  <si>
    <r>
      <rPr>
        <b/>
        <sz val="12"/>
        <rFont val="Times New Roman"/>
        <family val="1"/>
      </rPr>
      <t>Budget détaillé pour la surveillance de la durabilité</t>
    </r>
  </si>
  <si>
    <r>
      <rPr>
        <sz val="12"/>
        <rFont val="Times New Roman"/>
        <family val="1"/>
      </rPr>
      <t>Le coût varie-t-il</t>
    </r>
  </si>
  <si>
    <r>
      <rPr>
        <sz val="12"/>
        <rFont val="Times New Roman"/>
        <family val="1"/>
      </rPr>
      <t>Début de l’étude</t>
    </r>
  </si>
  <si>
    <r>
      <rPr>
        <sz val="12"/>
        <rFont val="Times New Roman"/>
        <family val="1"/>
      </rPr>
      <t>12 mois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</si>
  <si>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</si>
  <si>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</si>
  <si>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 xml:space="preserve">TOTAL </t>
    </r>
  </si>
  <si>
    <r>
      <rPr>
        <sz val="12"/>
        <color rgb="FFFF0000"/>
        <rFont val="Times New Roman"/>
      </rPr>
      <t>Vérifications</t>
    </r>
  </si>
  <si>
    <r>
      <rPr>
        <sz val="12"/>
        <rFont val="Times New Roman"/>
        <family val="1"/>
      </rPr>
      <t>en fonction du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</si>
  <si>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</si>
  <si>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</si>
  <si>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</si>
  <si>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</si>
  <si>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</si>
  <si>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DESCRIPTION DU POSTE BUDGÉTAIRE</t>
    </r>
  </si>
  <si>
    <r>
      <rPr>
        <sz val="12"/>
        <rFont val="Times New Roman"/>
        <family val="1"/>
      </rPr>
      <t>nombre de sites ?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</si>
  <si>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</si>
  <si>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</si>
  <si>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</si>
  <si>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</si>
  <si>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</si>
  <si>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</si>
  <si>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</si>
  <si>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</si>
  <si>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</si>
  <si>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sz val="12"/>
        <rFont val="Times New Roman"/>
        <family val="1"/>
      </rPr>
      <t>UNITÉS</t>
    </r>
  </si>
  <si>
    <r>
      <rPr>
        <sz val="12"/>
        <rFont val="Times New Roman"/>
        <family val="1"/>
      </rPr>
      <t>COÛT UNITAIRE</t>
    </r>
  </si>
  <si>
    <r>
      <rPr>
        <sz val="12"/>
        <rFont val="Times New Roman"/>
        <family val="1"/>
      </rPr>
      <t>TOTAL (en $)</t>
    </r>
  </si>
  <si>
    <r>
      <rPr>
        <b/>
        <sz val="12"/>
        <rFont val="Times New Roman"/>
        <family val="1"/>
      </rPr>
      <t>UNITÉS</t>
    </r>
  </si>
  <si>
    <r>
      <rPr>
        <b/>
        <sz val="12"/>
        <rFont val="Times New Roman"/>
        <family val="1"/>
      </rPr>
      <t>TOTAL (en $)</t>
    </r>
  </si>
  <si>
    <r>
      <rPr>
        <b/>
        <sz val="12"/>
        <rFont val="Times New Roman"/>
        <family val="1"/>
      </rPr>
      <t>I. PERSONNEL (ÉQUIPES SALARIÉES)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</si>
  <si>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</si>
  <si>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</si>
  <si>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Assistance technique de courte durée depuis le siège</t>
    </r>
  </si>
  <si>
    <r>
      <rPr>
        <sz val="12"/>
        <rFont val="Times New Roman"/>
        <family val="1"/>
      </rPr>
      <t>IP - général / prép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</si>
  <si>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</si>
  <si>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IP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</si>
  <si>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</si>
  <si>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IP - travail sur le terrain</t>
    </r>
  </si>
  <si>
    <r>
      <rPr>
        <sz val="12"/>
        <color rgb="FFFF6600"/>
        <rFont val="Times New Roman"/>
        <family val="1"/>
      </rPr>
      <t>2 jours par site (assistance depuis les bureaux et analyse des données)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</si>
  <si>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</si>
  <si>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Gestion administrative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</si>
  <si>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</si>
  <si>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Supervision de la gestion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</si>
  <si>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</si>
  <si>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Gestion financière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</si>
  <si>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</si>
  <si>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   Sous-total assistance technique de courte durée depuis le siège</t>
    </r>
  </si>
  <si>
    <r>
      <rPr>
        <b/>
        <sz val="12"/>
        <rFont val="Times New Roman"/>
        <family val="1"/>
      </rPr>
      <t>B. Salaires et charges sociales des équipes nationales</t>
    </r>
  </si>
  <si>
    <r>
      <rPr>
        <sz val="12"/>
        <rFont val="Times New Roman"/>
        <family val="1"/>
      </rPr>
      <t>IP - général / prép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</si>
  <si>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</si>
  <si>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IP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</si>
  <si>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</si>
  <si>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IP - travail sur le terrain</t>
    </r>
  </si>
  <si>
    <r>
      <rPr>
        <sz val="12"/>
        <color rgb="FFFF6600"/>
        <rFont val="Times New Roman"/>
        <family val="1"/>
      </rPr>
      <t>2 jours par site (assistance depuis les bureaux et analyse des données)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</si>
  <si>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</si>
  <si>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Gestion administrative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</si>
  <si>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</si>
  <si>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Gestion financière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</si>
  <si>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</si>
  <si>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Coordinateur de la surveillance - général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</si>
  <si>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</si>
  <si>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Coordinateur de la surveillance - formation</t>
    </r>
  </si>
  <si>
    <r>
      <rPr>
        <sz val="12"/>
        <rFont val="Times New Roman"/>
        <family val="1"/>
      </rPr>
      <t>Fixe</t>
    </r>
  </si>
  <si>
    <r>
      <rPr>
        <sz val="12"/>
        <color rgb="FFFF6600"/>
        <rFont val="Times New Roman"/>
        <family val="1"/>
      </rPr>
      <t>Coordinateur de la surveillance - travail sur le terrain</t>
    </r>
  </si>
  <si>
    <r>
      <rPr>
        <sz val="12"/>
        <color rgb="FFFF6600"/>
        <rFont val="Times New Roman"/>
        <family val="1"/>
      </rPr>
      <t>9 jours par site (7 jours sur le terrain et 2 jours de nettoyage, analyse et reporting)</t>
    </r>
  </si>
  <si>
    <r>
      <rPr>
        <sz val="12"/>
        <color rgb="FFFF6600"/>
        <rFont val="Times New Roman"/>
        <family val="1"/>
      </rPr>
      <t xml:space="preserve">Variable </t>
    </r>
  </si>
  <si>
    <r>
      <rPr>
        <b/>
        <sz val="12"/>
        <rFont val="Times New Roman"/>
        <family val="1"/>
      </rPr>
      <t>Sous-total salaires et charges sociales des équipes nationales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</si>
  <si>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</si>
  <si>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salaires et traitements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</si>
  <si>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</si>
  <si>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II.   CHARGES SOCIALES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</si>
  <si>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</si>
  <si>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</si>
  <si>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</si>
  <si>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</si>
  <si>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Salaires siège sur place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</si>
  <si>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</si>
  <si>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Salaires siège autre lieu</t>
    </r>
  </si>
  <si>
    <r>
      <rPr>
        <b/>
        <sz val="12"/>
        <rFont val="Times New Roman"/>
        <family val="1"/>
      </rPr>
      <t>Sous-total charges sociales</t>
    </r>
  </si>
  <si>
    <r>
      <rPr>
        <b/>
        <sz val="12"/>
        <rFont val="Times New Roman"/>
        <family val="1"/>
      </rPr>
      <t>III. DÉPLACEMENTS ET INDEMNITÉS JOURNALIÈRES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</si>
  <si>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</si>
  <si>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Déplacements internationaux - assistance technique courte durée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</si>
  <si>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</si>
  <si>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</si>
  <si>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color rgb="FF70AD47" tint="-0.249977111117893"/>
        <rFont val="Times New Roman"/>
      </rPr>
      <t>Première année - première visite de planification et sélection de la cohorte</t>
    </r>
  </si>
  <si>
    <r>
      <rPr>
        <sz val="12"/>
        <rFont val="Times New Roman"/>
        <family val="1"/>
      </rPr>
      <t>Billets d’avion aller-retour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</si>
  <si>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</si>
  <si>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</si>
  <si>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</si>
  <si>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IP</t>
    </r>
  </si>
  <si>
    <r>
      <rPr>
        <sz val="12"/>
        <rFont val="Times New Roman"/>
        <family val="1"/>
      </rPr>
      <t>Fixe</t>
    </r>
  </si>
  <si>
    <r>
      <rPr>
        <sz val="12"/>
        <color rgb="FF70AD47" tint="-0.249977111117893"/>
        <rFont val="Times New Roman"/>
      </rPr>
      <t>4</t>
    </r>
    <r>
      <rPr>
        <vertAlign val="superscript"/>
        <sz val="12"/>
        <color rgb="FF70AD47" tint="-0.249977111117893"/>
        <rFont val="Times New Roman"/>
      </rPr>
      <t>e</t>
    </r>
    <r>
      <rPr>
        <sz val="12"/>
        <color rgb="FF70AD47" tint="-0.249977111117893"/>
        <rFont val="Times New Roman"/>
      </rPr>
      <t xml:space="preserve"> année - diffusion à la fin de la surveillance </t>
    </r>
  </si>
  <si>
    <r>
      <rPr>
        <sz val="12"/>
        <rFont val="Times New Roman"/>
        <family val="1"/>
      </rPr>
      <t>Billets d’avion aller-retour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</si>
  <si>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</si>
  <si>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IP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</si>
  <si>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</si>
  <si>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IP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</si>
  <si>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</si>
  <si>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</si>
  <si>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Billets d’avion aller-retour consultant international en technologie mobile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</si>
  <si>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</si>
  <si>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Indemnités journalières consultant international en technologie mobile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</si>
  <si>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</si>
  <si>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Frais de déplacement divers consultant international en technologie mobile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</si>
  <si>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</si>
  <si>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Sous-total déplacements internationaux - assistance technique courte durée</t>
    </r>
  </si>
  <si>
    <r>
      <rPr>
        <b/>
        <sz val="12"/>
        <rFont val="Times New Roman"/>
        <family val="1"/>
      </rPr>
      <t>B. Déplacements locaux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</si>
  <si>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</si>
  <si>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</si>
  <si>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color rgb="FF70AD47" tint="-0.249977111117893"/>
        <rFont val="Times New Roman"/>
      </rPr>
      <t>Première année - première visite de planification et sélection de la cohorte</t>
    </r>
  </si>
  <si>
    <r>
      <rPr>
        <sz val="12"/>
        <rFont val="Times New Roman"/>
        <family val="1"/>
      </rPr>
      <t>Transports locaux - IP, sous-traitant vers ville principale</t>
    </r>
  </si>
  <si>
    <r>
      <rPr>
        <sz val="12"/>
        <rFont val="Times New Roman"/>
        <family val="1"/>
      </rPr>
      <t>Fixe</t>
    </r>
  </si>
  <si>
    <r>
      <rPr>
        <sz val="12"/>
        <color rgb="FF70AD47" tint="-0.249977111117893"/>
        <rFont val="Times New Roman"/>
      </rPr>
      <t>4</t>
    </r>
    <r>
      <rPr>
        <vertAlign val="superscript"/>
        <sz val="12"/>
        <color rgb="FF70AD47" tint="-0.249977111117893"/>
        <rFont val="Times New Roman"/>
      </rPr>
      <t>e</t>
    </r>
    <r>
      <rPr>
        <sz val="12"/>
        <color rgb="FF70AD47" tint="-0.249977111117893"/>
        <rFont val="Times New Roman"/>
      </rPr>
      <t xml:space="preserve"> année - diffusion à la fin de la surveillance </t>
    </r>
  </si>
  <si>
    <r>
      <rPr>
        <sz val="12"/>
        <rFont val="Times New Roman"/>
        <family val="1"/>
      </rPr>
      <t>Transports locaux - IP à l’intérieur de la ville principale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</si>
  <si>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</si>
  <si>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</si>
  <si>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Transports locaux - sous-traitant à l’intérieur de la ville principale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</si>
  <si>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</si>
  <si>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TRAVAIL SUR LE TERRAIN</t>
    </r>
  </si>
  <si>
    <r>
      <rPr>
        <sz val="12"/>
        <color rgb="FFFF6600"/>
        <rFont val="Times New Roman"/>
        <family val="1"/>
      </rPr>
      <t>Indemnités journalières - sous-traitant, consultant national en technologie mobile</t>
    </r>
  </si>
  <si>
    <r>
      <rPr>
        <sz val="12"/>
        <color rgb="FFFF6600"/>
        <rFont val="Times New Roman"/>
        <family val="1"/>
      </rPr>
      <t>7 jours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</si>
  <si>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</si>
  <si>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Vols locaux - sous-traitant, consultant national en technologie mobile</t>
    </r>
  </si>
  <si>
    <r>
      <rPr>
        <sz val="12"/>
        <color rgb="FFFF6600"/>
        <rFont val="Times New Roman"/>
        <family val="1"/>
      </rPr>
      <t>1 vol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</si>
  <si>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</si>
  <si>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Transports locaux - sous-traitant, consultant national en technologie mobile</t>
    </r>
  </si>
  <si>
    <r>
      <rPr>
        <sz val="12"/>
        <color rgb="FFFF6600"/>
        <rFont val="Times New Roman"/>
        <family val="1"/>
      </rPr>
      <t>7 jours par site pour chaque sous-traitant et consultant national en technologie mobile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</si>
  <si>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</si>
  <si>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Sous-total déplacements locaux</t>
    </r>
  </si>
  <si>
    <r>
      <rPr>
        <b/>
        <sz val="12"/>
        <rFont val="Times New Roman"/>
        <family val="1"/>
      </rPr>
      <t>Sous-total déplacements et indemnités journalières</t>
    </r>
  </si>
  <si>
    <r>
      <rPr>
        <b/>
        <sz val="12"/>
        <rFont val="Times New Roman"/>
        <family val="1"/>
      </rPr>
      <t>IV. MATÉRIEL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</si>
  <si>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</si>
  <si>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matériel</t>
    </r>
  </si>
  <si>
    <r>
      <rPr>
        <b/>
        <sz val="12"/>
        <rFont val="Times New Roman"/>
        <family val="1"/>
      </rPr>
      <t>V. FOURNITURES</t>
    </r>
  </si>
  <si>
    <r>
      <rPr>
        <sz val="12"/>
        <color rgb="FFFF6600"/>
        <rFont val="Times New Roman"/>
        <family val="1"/>
      </rPr>
      <t>Technologie de recueil des données mobile (par exemple, tablettes)</t>
    </r>
  </si>
  <si>
    <r>
      <rPr>
        <sz val="12"/>
        <color rgb="FFFF6600"/>
        <rFont val="Times New Roman"/>
        <family val="1"/>
      </rPr>
      <t>1 tablette par équipe + 1 tablette de secours par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</si>
  <si>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</si>
  <si>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</si>
  <si>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fournitures</t>
    </r>
  </si>
  <si>
    <r>
      <rPr>
        <b/>
        <sz val="12"/>
        <rFont val="Times New Roman"/>
        <family val="1"/>
      </rPr>
      <t>VI. SOUS-TRAITANCE</t>
    </r>
  </si>
  <si>
    <r>
      <rPr>
        <b/>
        <sz val="12"/>
        <rFont val="Times New Roman"/>
        <family val="1"/>
      </rPr>
      <t>A. Consultants internationaux - assistance technique courte durée</t>
    </r>
  </si>
  <si>
    <r>
      <rPr>
        <u/>
        <sz val="12"/>
        <rFont val="Times New Roman"/>
        <family val="1"/>
      </rPr>
      <t>GÉNÉRAL</t>
    </r>
  </si>
  <si>
    <r>
      <rPr>
        <sz val="12"/>
        <rFont val="Times New Roman"/>
        <family val="1"/>
      </rPr>
      <t>Collecte des données mobile - planification de la surveillance et contrôle qualité global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</si>
  <si>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</si>
  <si>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</si>
  <si>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Collecte des données mobile - planification de la surveillance et contrôle qualité global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</si>
  <si>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</si>
  <si>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       Sous-total consultants internationaux - assistance technique courte durée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</si>
  <si>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</si>
  <si>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</si>
  <si>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</si>
  <si>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</si>
  <si>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</si>
  <si>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</si>
  <si>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</si>
  <si>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</si>
  <si>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</si>
  <si>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</si>
  <si>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</si>
  <si>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</si>
  <si>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</si>
  <si>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</si>
  <si>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</si>
  <si>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</si>
  <si>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</si>
  <si>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</si>
  <si>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A. Consultants nationaux - assistance technique courte durée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</si>
  <si>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</si>
  <si>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</si>
  <si>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</si>
  <si>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</si>
  <si>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</si>
  <si>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</si>
  <si>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</si>
  <si>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</si>
  <si>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</si>
  <si>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</si>
  <si>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</si>
  <si>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</si>
  <si>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</si>
  <si>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 xml:space="preserve"> </t>
    </r>
  </si>
  <si>
    <r>
      <rPr>
        <u/>
        <sz val="12"/>
        <rFont val="Times New Roman"/>
        <family val="1"/>
      </rPr>
      <t>GÉNÉRAL</t>
    </r>
  </si>
  <si>
    <r>
      <rPr>
        <sz val="12"/>
        <rFont val="Times New Roman"/>
        <family val="1"/>
      </rPr>
      <t>Traducteur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</si>
  <si>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</si>
  <si>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</si>
  <si>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Collecte des données mobile - mise en œuvre de la surveillance</t>
    </r>
  </si>
  <si>
    <r>
      <rPr>
        <sz val="12"/>
        <rFont val="Times New Roman"/>
        <family val="1"/>
      </rPr>
      <t>Fixe</t>
    </r>
  </si>
  <si>
    <r>
      <rPr>
        <u/>
        <sz val="12"/>
        <rFont val="Times New Roman"/>
        <family val="1"/>
      </rPr>
      <t>TRAVAIL SUR LE TERRAIN</t>
    </r>
  </si>
  <si>
    <r>
      <rPr>
        <sz val="12"/>
        <color rgb="FFFF6600"/>
        <rFont val="Times New Roman"/>
        <family val="1"/>
      </rPr>
      <t>Collecte des données mobile - mise en œuvre de la surveillance</t>
    </r>
  </si>
  <si>
    <r>
      <rPr>
        <sz val="12"/>
        <color rgb="FFFF6600"/>
        <rFont val="Times New Roman"/>
        <family val="1"/>
      </rPr>
      <t>7 jours par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</si>
  <si>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</si>
  <si>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 xml:space="preserve">        Sous-total consultants nationaux - assistance technique courte durée</t>
    </r>
  </si>
  <si>
    <r>
      <rPr>
        <b/>
        <sz val="12"/>
        <rFont val="Times New Roman"/>
        <family val="1"/>
      </rPr>
      <t>Sous-total consultants</t>
    </r>
  </si>
  <si>
    <r>
      <rPr>
        <b/>
        <sz val="12"/>
        <rFont val="Times New Roman"/>
        <family val="1"/>
      </rPr>
      <t>Sous-total sous-traitance</t>
    </r>
  </si>
  <si>
    <r>
      <rPr>
        <b/>
        <sz val="12"/>
        <rFont val="Times New Roman"/>
        <family val="1"/>
      </rPr>
      <t xml:space="preserve">VII. AUTRES FRAIS DIRECTS </t>
    </r>
  </si>
  <si>
    <r>
      <rPr>
        <b/>
        <sz val="12"/>
        <rFont val="Times New Roman"/>
        <family val="1"/>
      </rPr>
      <t>A. Activités / ateliers / réunions</t>
    </r>
  </si>
  <si>
    <r>
      <rPr>
        <u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</si>
  <si>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Demande d’autorisation auprès des Comités d’éthique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</si>
  <si>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</si>
  <si>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Échantillonnage et transport vers la ville principale 30 moustiquaires par site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</si>
  <si>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</si>
  <si>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Bio-essais</t>
    </r>
  </si>
  <si>
    <r>
      <rPr>
        <sz val="12"/>
        <rFont val="Times New Roman"/>
        <family val="1"/>
      </rPr>
      <t>Envoi international des échantillons vers les laboratoires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</si>
  <si>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</si>
  <si>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Bio-essais (20 $ chacun)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</si>
  <si>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</si>
  <si>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</si>
  <si>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Analyse du taux d’insecticide (30 moustiquaires par site)</t>
    </r>
  </si>
  <si>
    <r>
      <rPr>
        <sz val="12"/>
        <rFont val="Times New Roman"/>
        <family val="1"/>
      </rPr>
      <t>Envoi international des moustiquaires vers le laboratoire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</si>
  <si>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</si>
  <si>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</si>
  <si>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Analyse technico-chimique (100 $ chacune)</t>
    </r>
  </si>
  <si>
    <r>
      <rPr>
        <sz val="12"/>
        <color rgb="FFFF6600"/>
        <rFont val="Times New Roman"/>
        <family val="1"/>
      </rPr>
      <t>Prix par site - ajouter le nombre de sites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</si>
  <si>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</si>
  <si>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>Diffusion et publication des résultats</t>
    </r>
  </si>
  <si>
    <r>
      <rPr>
        <sz val="12"/>
        <rFont val="Times New Roman"/>
        <family val="1"/>
      </rPr>
      <t>Atelier de diffusion de fin de surveillance</t>
    </r>
  </si>
  <si>
    <r>
      <rPr>
        <sz val="12"/>
        <rFont val="Times New Roman"/>
        <family val="1"/>
      </rPr>
      <t>Salle, encas/déjeuner, etc.</t>
    </r>
  </si>
  <si>
    <r>
      <rPr>
        <sz val="12"/>
        <rFont val="Times New Roman"/>
        <family val="1"/>
      </rPr>
      <t>Tarif de publication</t>
    </r>
  </si>
  <si>
    <r>
      <rPr>
        <sz val="12"/>
        <rFont val="Times New Roman"/>
        <family val="1"/>
      </rPr>
      <t>Exemple : Malaria Journal</t>
    </r>
  </si>
  <si>
    <r>
      <rPr>
        <u/>
        <sz val="12"/>
        <rFont val="Times New Roman"/>
        <family val="1"/>
      </rPr>
      <t>FORMATION</t>
    </r>
  </si>
  <si>
    <r>
      <rPr>
        <b/>
        <sz val="12"/>
        <rFont val="Times New Roman"/>
        <family val="1"/>
      </rPr>
      <t>Formation du personnel</t>
    </r>
  </si>
  <si>
    <r>
      <rPr>
        <sz val="12"/>
        <color rgb="FFFF6600"/>
        <rFont val="Times New Roman"/>
        <family val="1"/>
      </rPr>
      <t>Superviseur du site</t>
    </r>
  </si>
  <si>
    <r>
      <rPr>
        <sz val="12"/>
        <color rgb="FFFF6600"/>
        <rFont val="Times New Roman"/>
        <family val="1"/>
      </rPr>
      <t>1 superviseur par site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</si>
  <si>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</si>
  <si>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Investigateurs (3 par site)</t>
    </r>
  </si>
  <si>
    <r>
      <rPr>
        <sz val="12"/>
        <color rgb="FFFF6600"/>
        <rFont val="Times New Roman"/>
        <family val="1"/>
      </rPr>
      <t>3 investigateurs par site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</si>
  <si>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</si>
  <si>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Représentant local du PNLP (1 par site)</t>
    </r>
  </si>
  <si>
    <r>
      <rPr>
        <sz val="12"/>
        <color rgb="FFFF6600"/>
        <rFont val="Times New Roman"/>
        <family val="1"/>
      </rPr>
      <t>1 représentant du PNLP par site* / 5 jours de formation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</si>
  <si>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</si>
  <si>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Frais d’ateliers de formation</t>
    </r>
  </si>
  <si>
    <r>
      <rPr>
        <sz val="12"/>
        <color rgb="FFFF6600"/>
        <rFont val="Times New Roman"/>
        <family val="1"/>
      </rPr>
      <t>Jours de location de la salle</t>
    </r>
  </si>
  <si>
    <r>
      <rPr>
        <sz val="12"/>
        <color rgb="FFFF6600"/>
        <rFont val="Times New Roman"/>
        <family val="1"/>
      </rPr>
      <t>5 jours de formation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</si>
  <si>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</si>
  <si>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Kits supports</t>
    </r>
  </si>
  <si>
    <r>
      <rPr>
        <sz val="12"/>
        <color rgb="FFFF6600"/>
        <rFont val="Times New Roman"/>
        <family val="1"/>
      </rPr>
      <t>5 participants par site + sous-traitant + 2 consultants + représentants du PNLP par site / un kit chacun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</si>
  <si>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</si>
  <si>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Indemnités journalières nuitées</t>
    </r>
  </si>
  <si>
    <r>
      <rPr>
        <sz val="12"/>
        <color rgb="FFFF6600"/>
        <rFont val="Times New Roman"/>
        <family val="1"/>
      </rPr>
      <t>5 participants par site* / 5 jours de formation Comprend les représentants du PNLP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</si>
  <si>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</si>
  <si>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Déplacements atelier - locaux</t>
    </r>
  </si>
  <si>
    <r>
      <rPr>
        <sz val="12"/>
        <color rgb="FFFF6600"/>
        <rFont val="Times New Roman"/>
        <family val="1"/>
      </rPr>
      <t>5 participants par site* / une seule fois pour la formation - comprend les représentants du PNLP</t>
    </r>
  </si>
  <si>
    <r>
      <rPr>
        <sz val="12"/>
        <color rgb="FFFF6600"/>
        <rFont val="Times New Roman"/>
        <family val="1"/>
      </rPr>
      <t>Variable</t>
    </r>
  </si>
  <si>
    <r>
      <rPr>
        <u/>
        <sz val="12"/>
        <rFont val="Times New Roman"/>
        <family val="1"/>
      </rPr>
      <t>TRAVAIL SUR LE TERRAIN</t>
    </r>
  </si>
  <si>
    <r>
      <rPr>
        <b/>
        <sz val="12"/>
        <rFont val="Times New Roman"/>
        <family val="1"/>
      </rPr>
      <t>Équipes sur le terrain</t>
    </r>
  </si>
  <si>
    <r>
      <rPr>
        <sz val="12"/>
        <color rgb="FFFF6600"/>
        <rFont val="Times New Roman"/>
        <family val="1"/>
      </rPr>
      <t>Chef de groupe du site (1 par site)</t>
    </r>
  </si>
  <si>
    <r>
      <rPr>
        <sz val="12"/>
        <color rgb="FFFF6600"/>
        <rFont val="Times New Roman"/>
        <family val="1"/>
      </rPr>
      <t>1 superviseur par site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</si>
  <si>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</si>
  <si>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Investigateurs (3 par site)</t>
    </r>
  </si>
  <si>
    <r>
      <rPr>
        <sz val="12"/>
        <color rgb="FFFF6600"/>
        <rFont val="Times New Roman"/>
        <family val="1"/>
      </rPr>
      <t>3 investigateurs par site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</si>
  <si>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</si>
  <si>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Représentant local du PNLP (1 par site)</t>
    </r>
  </si>
  <si>
    <r>
      <rPr>
        <sz val="12"/>
        <color rgb="FFFF6600"/>
        <rFont val="Times New Roman"/>
        <family val="1"/>
      </rPr>
      <t>1 représentant du PNLP par site* / 15 jours de travail sur le terrain pour chaque site</t>
    </r>
  </si>
  <si>
    <r>
      <rPr>
        <sz val="12"/>
        <color rgb="FFFF6600"/>
        <rFont val="Times New Roman"/>
        <family val="1"/>
      </rPr>
      <t>Variable</t>
    </r>
  </si>
  <si>
    <r>
      <rPr>
        <b/>
        <sz val="12"/>
        <rFont val="Times New Roman"/>
        <family val="1"/>
      </rPr>
      <t>Frais de travail sur le terrain</t>
    </r>
  </si>
  <si>
    <r>
      <rPr>
        <sz val="12"/>
        <color rgb="FFFF6600"/>
        <rFont val="Times New Roman"/>
        <family val="1"/>
      </rPr>
      <t>Indemnités journalières nuitées</t>
    </r>
  </si>
  <si>
    <r>
      <rPr>
        <sz val="12"/>
        <color rgb="FFFF6600"/>
        <rFont val="Times New Roman"/>
        <family val="1"/>
      </rPr>
      <t>5 participants par site* / 15 jours par site (comprend les représentants du PNLP)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</si>
  <si>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</si>
  <si>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color rgb="FFFF6600"/>
        <rFont val="Times New Roman"/>
        <family val="1"/>
      </rPr>
      <t>Location de voiture et carburant</t>
    </r>
  </si>
  <si>
    <r>
      <rPr>
        <sz val="12"/>
        <color rgb="FFFF6600"/>
        <rFont val="Times New Roman"/>
        <family val="1"/>
      </rPr>
      <t>15 jours par site</t>
    </r>
  </si>
  <si>
    <r>
      <rPr>
        <sz val="12"/>
        <color rgb="FFFF6600"/>
        <rFont val="Times New Roman"/>
        <family val="1"/>
      </rPr>
      <t>Variable</t>
    </r>
  </si>
  <si>
    <r>
      <rPr>
        <sz val="12"/>
        <rFont val="Times New Roman"/>
        <family val="1"/>
      </rPr>
      <t>Autres frais de travail sur le terrain</t>
    </r>
  </si>
  <si>
    <r>
      <rPr>
        <sz val="12"/>
        <rFont val="Times New Roman"/>
        <family val="1"/>
      </rPr>
      <t>Fixe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</si>
  <si>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</si>
  <si>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Sous-total activités / ateliers / réunions</t>
    </r>
  </si>
  <si>
    <r>
      <rPr>
        <b/>
        <sz val="12"/>
        <rFont val="Times New Roman"/>
        <family val="1"/>
      </rPr>
      <t>Sous-total autres frais directs</t>
    </r>
  </si>
  <si>
    <r>
      <rPr>
        <b/>
        <sz val="12"/>
        <rFont val="Times New Roman"/>
        <family val="1"/>
      </rPr>
      <t>TOTAL FRAIS DIRECTS</t>
    </r>
  </si>
  <si>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</si>
  <si>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VIII.  FRAIS INDIRECTS :</t>
    </r>
  </si>
  <si>
    <r>
      <rPr>
        <sz val="12"/>
        <rFont val="Times New Roman"/>
        <family val="1"/>
      </rPr>
      <t>%</t>
    </r>
  </si>
  <si>
    <r>
      <rPr>
        <b/>
        <sz val="12"/>
        <rFont val="Times New Roman"/>
        <family val="1"/>
      </rPr>
      <t>COÛT TOTAL DU PROJET</t>
    </r>
  </si>
  <si>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</si>
  <si>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>*En partant du principe que la participation du PNLP engendre uniquement des indemnités journalières et des frais de transport, mais pas de tarif journalier.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</si>
</sst>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_)"/>
    <numFmt numFmtId="165" formatCode="mm/dd/yy"/>
    <numFmt numFmtId="166" formatCode="mm/dd/yy_)"/>
    <numFmt numFmtId="167" formatCode="0.00_)"/>
    <numFmt numFmtId="168" formatCode="0.0%"/>
    <numFmt numFmtId="169" formatCode="#,##0.0_);\(#,##0.0\)"/>
    <numFmt numFmtId="170" formatCode="0_)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</font>
    <font>
      <sz val="10"/>
      <name val="Arial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2"/>
      <color rgb="FFFF0000"/>
      <name val="Arial"/>
    </font>
    <font>
      <sz val="12"/>
      <color theme="9" tint="-0.249977111117893"/>
      <name val="Times New Roman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color rgb="FF7030A0"/>
      <name val="Times New Roman"/>
      <family val="1"/>
    </font>
    <font>
      <sz val="12"/>
      <color rgb="FFFF6600"/>
      <name val="Times New Roman"/>
      <family val="1"/>
    </font>
    <font>
      <b/>
      <vertAlign val="superscript"/>
      <sz val="12"/>
      <name val="Times New Roman"/>
    </font>
    <font>
      <sz val="12"/>
      <color rgb="FF70AD47" tint="-0.249977111117893"/>
      <name val="Times New Roman"/>
    </font>
    <font>
      <vertAlign val="superscript"/>
      <sz val="12"/>
      <color rgb="FF70AD47" tint="-0.24997711111789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indexed="8"/>
      </bottom>
      <diagonal/>
    </border>
    <border>
      <left/>
      <right style="thin">
        <color auto="1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4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7" fontId="3" fillId="0" borderId="0"/>
    <xf numFmtId="9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0">
    <xf numFmtId="0" fontId="0" fillId="0" borderId="0" xfId="0"/>
    <xf numFmtId="37" fontId="4" fillId="0" borderId="0" xfId="13" applyFont="1"/>
    <xf numFmtId="164" fontId="4" fillId="0" borderId="0" xfId="13" applyNumberFormat="1" applyFont="1"/>
    <xf numFmtId="37" fontId="5" fillId="0" borderId="0" xfId="13" applyFont="1"/>
    <xf numFmtId="37" fontId="6" fillId="0" borderId="0" xfId="13" applyFont="1"/>
    <xf numFmtId="37" fontId="3" fillId="0" borderId="0" xfId="13" applyFont="1"/>
    <xf numFmtId="165" fontId="5" fillId="0" borderId="0" xfId="13" applyNumberFormat="1" applyFont="1"/>
    <xf numFmtId="166" fontId="5" fillId="0" borderId="0" xfId="13" applyNumberFormat="1" applyFont="1" applyProtection="1"/>
    <xf numFmtId="37" fontId="4" fillId="0" borderId="2" xfId="13" applyFont="1" applyBorder="1"/>
    <xf numFmtId="37" fontId="5" fillId="0" borderId="3" xfId="13" applyFont="1" applyBorder="1"/>
    <xf numFmtId="37" fontId="4" fillId="0" borderId="0" xfId="13" applyFont="1" applyBorder="1"/>
    <xf numFmtId="37" fontId="4" fillId="0" borderId="0" xfId="13" applyFont="1" applyBorder="1" applyAlignment="1">
      <alignment horizontal="center"/>
    </xf>
    <xf numFmtId="37" fontId="4" fillId="0" borderId="0" xfId="13" applyFont="1" applyBorder="1" applyAlignment="1">
      <alignment horizontal="fill"/>
    </xf>
    <xf numFmtId="37" fontId="4" fillId="0" borderId="5" xfId="13" applyFont="1" applyBorder="1"/>
    <xf numFmtId="37" fontId="4" fillId="0" borderId="5" xfId="13" applyFont="1" applyBorder="1" applyAlignment="1">
      <alignment horizontal="center"/>
    </xf>
    <xf numFmtId="37" fontId="5" fillId="0" borderId="6" xfId="13" applyFont="1" applyBorder="1" applyAlignment="1">
      <alignment horizontal="center"/>
    </xf>
    <xf numFmtId="167" fontId="4" fillId="0" borderId="0" xfId="13" applyNumberFormat="1" applyFont="1" applyBorder="1" applyProtection="1"/>
    <xf numFmtId="38" fontId="4" fillId="0" borderId="0" xfId="13" applyNumberFormat="1" applyFont="1" applyBorder="1"/>
    <xf numFmtId="37" fontId="5" fillId="0" borderId="0" xfId="13" applyFont="1" applyBorder="1"/>
    <xf numFmtId="38" fontId="5" fillId="0" borderId="0" xfId="13" applyNumberFormat="1" applyFont="1" applyBorder="1"/>
    <xf numFmtId="37" fontId="9" fillId="0" borderId="0" xfId="13" applyFont="1"/>
    <xf numFmtId="38" fontId="4" fillId="0" borderId="5" xfId="13" applyNumberFormat="1" applyFont="1" applyBorder="1"/>
    <xf numFmtId="39" fontId="5" fillId="0" borderId="0" xfId="13" applyNumberFormat="1" applyFont="1" applyBorder="1"/>
    <xf numFmtId="164" fontId="5" fillId="0" borderId="0" xfId="13" applyNumberFormat="1" applyFont="1" applyBorder="1"/>
    <xf numFmtId="37" fontId="5" fillId="0" borderId="5" xfId="13" applyFont="1" applyBorder="1"/>
    <xf numFmtId="38" fontId="5" fillId="0" borderId="5" xfId="13" applyNumberFormat="1" applyFont="1" applyBorder="1"/>
    <xf numFmtId="37" fontId="11" fillId="0" borderId="1" xfId="13" applyFont="1" applyBorder="1" applyAlignment="1">
      <alignment horizontal="left"/>
    </xf>
    <xf numFmtId="38" fontId="4" fillId="0" borderId="7" xfId="13" applyNumberFormat="1" applyFont="1" applyBorder="1"/>
    <xf numFmtId="167" fontId="5" fillId="0" borderId="0" xfId="13" applyNumberFormat="1" applyFont="1" applyBorder="1" applyProtection="1"/>
    <xf numFmtId="169" fontId="5" fillId="0" borderId="0" xfId="13" applyNumberFormat="1" applyFont="1" applyBorder="1"/>
    <xf numFmtId="37" fontId="4" fillId="0" borderId="1" xfId="13" applyFont="1" applyBorder="1" applyAlignment="1">
      <alignment horizontal="left" indent="2"/>
    </xf>
    <xf numFmtId="38" fontId="5" fillId="0" borderId="0" xfId="13" applyNumberFormat="1" applyFont="1" applyBorder="1" applyAlignment="1">
      <alignment horizontal="fill"/>
    </xf>
    <xf numFmtId="38" fontId="5" fillId="0" borderId="0" xfId="13" applyNumberFormat="1" applyFont="1" applyFill="1" applyBorder="1"/>
    <xf numFmtId="37" fontId="5" fillId="0" borderId="0" xfId="13" applyFont="1" applyFill="1" applyBorder="1"/>
    <xf numFmtId="37" fontId="9" fillId="0" borderId="0" xfId="13" applyFont="1" applyFill="1"/>
    <xf numFmtId="37" fontId="3" fillId="0" borderId="0" xfId="13" applyFont="1" applyBorder="1"/>
    <xf numFmtId="38" fontId="4" fillId="0" borderId="0" xfId="13" applyNumberFormat="1" applyFont="1" applyFill="1" applyBorder="1"/>
    <xf numFmtId="164" fontId="5" fillId="0" borderId="0" xfId="13" applyNumberFormat="1" applyFont="1" applyFill="1" applyBorder="1"/>
    <xf numFmtId="37" fontId="5" fillId="0" borderId="1" xfId="13" applyFont="1" applyBorder="1"/>
    <xf numFmtId="37" fontId="3" fillId="0" borderId="0" xfId="13" applyFont="1" applyFill="1"/>
    <xf numFmtId="38" fontId="5" fillId="0" borderId="0" xfId="13" applyNumberFormat="1" applyFont="1" applyBorder="1" applyProtection="1"/>
    <xf numFmtId="38" fontId="4" fillId="0" borderId="5" xfId="13" applyNumberFormat="1" applyFont="1" applyBorder="1" applyAlignment="1">
      <alignment horizontal="fill"/>
    </xf>
    <xf numFmtId="2" fontId="4" fillId="0" borderId="0" xfId="14" applyNumberFormat="1" applyFont="1" applyBorder="1" applyProtection="1"/>
    <xf numFmtId="38" fontId="5" fillId="0" borderId="5" xfId="13" applyNumberFormat="1" applyFont="1" applyFill="1" applyBorder="1"/>
    <xf numFmtId="38" fontId="5" fillId="0" borderId="0" xfId="13" applyNumberFormat="1" applyFont="1" applyFill="1" applyBorder="1" applyAlignment="1">
      <alignment horizontal="fill"/>
    </xf>
    <xf numFmtId="37" fontId="5" fillId="0" borderId="5" xfId="13" applyFont="1" applyFill="1" applyBorder="1"/>
    <xf numFmtId="38" fontId="5" fillId="0" borderId="9" xfId="13" applyNumberFormat="1" applyFont="1" applyBorder="1"/>
    <xf numFmtId="38" fontId="4" fillId="0" borderId="7" xfId="13" applyNumberFormat="1" applyFont="1" applyFill="1" applyBorder="1"/>
    <xf numFmtId="37" fontId="5" fillId="0" borderId="8" xfId="13" applyFont="1" applyBorder="1"/>
    <xf numFmtId="38" fontId="5" fillId="0" borderId="7" xfId="13" applyNumberFormat="1" applyFont="1" applyFill="1" applyBorder="1"/>
    <xf numFmtId="170" fontId="4" fillId="0" borderId="0" xfId="13" applyNumberFormat="1" applyFont="1"/>
    <xf numFmtId="170" fontId="4" fillId="0" borderId="1" xfId="14" applyNumberFormat="1" applyFont="1" applyBorder="1" applyProtection="1"/>
    <xf numFmtId="170" fontId="4" fillId="0" borderId="1" xfId="14" applyNumberFormat="1" applyFont="1" applyFill="1" applyBorder="1" applyProtection="1"/>
    <xf numFmtId="170" fontId="4" fillId="0" borderId="0" xfId="14" applyNumberFormat="1" applyFont="1" applyBorder="1" applyProtection="1"/>
    <xf numFmtId="170" fontId="4" fillId="0" borderId="0" xfId="13" applyNumberFormat="1" applyFont="1" applyBorder="1"/>
    <xf numFmtId="170" fontId="4" fillId="0" borderId="0" xfId="13" applyNumberFormat="1" applyFont="1" applyFill="1" applyBorder="1"/>
    <xf numFmtId="170" fontId="4" fillId="0" borderId="0" xfId="13" applyNumberFormat="1" applyFont="1" applyBorder="1" applyProtection="1"/>
    <xf numFmtId="170" fontId="4" fillId="0" borderId="1" xfId="13" applyNumberFormat="1" applyFont="1" applyBorder="1" applyProtection="1"/>
    <xf numFmtId="170" fontId="5" fillId="0" borderId="0" xfId="13" applyNumberFormat="1" applyFont="1" applyBorder="1" applyProtection="1"/>
    <xf numFmtId="170" fontId="5" fillId="0" borderId="0" xfId="13" applyNumberFormat="1" applyFont="1" applyFill="1" applyBorder="1" applyProtection="1"/>
    <xf numFmtId="170" fontId="5" fillId="0" borderId="0" xfId="13" applyNumberFormat="1" applyFont="1" applyFill="1" applyBorder="1"/>
    <xf numFmtId="170" fontId="5" fillId="0" borderId="5" xfId="13" applyNumberFormat="1" applyFont="1" applyFill="1" applyBorder="1"/>
    <xf numFmtId="170" fontId="4" fillId="0" borderId="0" xfId="13" applyNumberFormat="1" applyFont="1" applyFill="1" applyBorder="1" applyProtection="1"/>
    <xf numFmtId="170" fontId="3" fillId="0" borderId="0" xfId="13" applyNumberFormat="1" applyFont="1"/>
    <xf numFmtId="170" fontId="5" fillId="0" borderId="5" xfId="13" applyNumberFormat="1" applyFont="1" applyBorder="1" applyProtection="1"/>
    <xf numFmtId="170" fontId="4" fillId="0" borderId="8" xfId="14" applyNumberFormat="1" applyFont="1" applyBorder="1" applyProtection="1"/>
    <xf numFmtId="170" fontId="4" fillId="0" borderId="1" xfId="13" applyNumberFormat="1" applyFont="1" applyFill="1" applyBorder="1" applyProtection="1"/>
    <xf numFmtId="170" fontId="5" fillId="0" borderId="5" xfId="13" applyNumberFormat="1" applyFont="1" applyBorder="1"/>
    <xf numFmtId="170" fontId="5" fillId="0" borderId="0" xfId="13" applyNumberFormat="1" applyFont="1" applyBorder="1"/>
    <xf numFmtId="170" fontId="4" fillId="0" borderId="5" xfId="13" applyNumberFormat="1" applyFont="1" applyBorder="1" applyProtection="1"/>
    <xf numFmtId="37" fontId="5" fillId="0" borderId="0" xfId="13" applyFont="1" applyBorder="1" applyAlignment="1">
      <alignment horizontal="fill"/>
    </xf>
    <xf numFmtId="38" fontId="13" fillId="0" borderId="0" xfId="13" applyNumberFormat="1" applyFont="1" applyBorder="1"/>
    <xf numFmtId="37" fontId="9" fillId="0" borderId="0" xfId="13" applyFont="1" applyBorder="1"/>
    <xf numFmtId="37" fontId="6" fillId="0" borderId="1" xfId="13" applyFont="1" applyBorder="1"/>
    <xf numFmtId="37" fontId="4" fillId="0" borderId="1" xfId="13" applyFont="1" applyBorder="1"/>
    <xf numFmtId="37" fontId="8" fillId="0" borderId="1" xfId="13" applyFont="1" applyBorder="1"/>
    <xf numFmtId="37" fontId="10" fillId="0" borderId="1" xfId="13" applyFont="1" applyBorder="1"/>
    <xf numFmtId="37" fontId="8" fillId="0" borderId="1" xfId="13" applyFont="1" applyFill="1" applyBorder="1"/>
    <xf numFmtId="37" fontId="6" fillId="0" borderId="1" xfId="13" applyFont="1" applyFill="1" applyBorder="1"/>
    <xf numFmtId="167" fontId="4" fillId="2" borderId="0" xfId="13" applyNumberFormat="1" applyFont="1" applyFill="1" applyBorder="1"/>
    <xf numFmtId="37" fontId="14" fillId="0" borderId="0" xfId="13" applyFont="1"/>
    <xf numFmtId="37" fontId="5" fillId="2" borderId="0" xfId="13" applyFont="1" applyFill="1"/>
    <xf numFmtId="37" fontId="4" fillId="2" borderId="0" xfId="13" applyFont="1" applyFill="1"/>
    <xf numFmtId="170" fontId="5" fillId="0" borderId="1" xfId="13" applyNumberFormat="1" applyFont="1" applyBorder="1" applyProtection="1"/>
    <xf numFmtId="170" fontId="5" fillId="0" borderId="1" xfId="13" applyNumberFormat="1" applyFont="1" applyFill="1" applyBorder="1" applyProtection="1"/>
    <xf numFmtId="170" fontId="5" fillId="0" borderId="8" xfId="13" applyNumberFormat="1" applyFont="1" applyFill="1" applyBorder="1" applyProtection="1"/>
    <xf numFmtId="170" fontId="5" fillId="0" borderId="1" xfId="13" applyNumberFormat="1" applyFont="1" applyFill="1" applyBorder="1"/>
    <xf numFmtId="170" fontId="4" fillId="0" borderId="1" xfId="13" applyNumberFormat="1" applyFont="1" applyFill="1" applyBorder="1"/>
    <xf numFmtId="170" fontId="5" fillId="0" borderId="8" xfId="13" applyNumberFormat="1" applyFont="1" applyFill="1" applyBorder="1"/>
    <xf numFmtId="170" fontId="5" fillId="0" borderId="1" xfId="13" applyNumberFormat="1" applyFont="1" applyBorder="1"/>
    <xf numFmtId="170" fontId="4" fillId="0" borderId="1" xfId="13" applyNumberFormat="1" applyFont="1" applyBorder="1"/>
    <xf numFmtId="170" fontId="5" fillId="0" borderId="8" xfId="13" applyNumberFormat="1" applyFont="1" applyBorder="1"/>
    <xf numFmtId="170" fontId="3" fillId="0" borderId="1" xfId="13" applyNumberFormat="1" applyFont="1" applyBorder="1"/>
    <xf numFmtId="170" fontId="5" fillId="0" borderId="8" xfId="13" applyNumberFormat="1" applyFont="1" applyBorder="1" applyProtection="1"/>
    <xf numFmtId="170" fontId="4" fillId="0" borderId="8" xfId="13" applyNumberFormat="1" applyFont="1" applyBorder="1" applyProtection="1"/>
    <xf numFmtId="170" fontId="5" fillId="0" borderId="5" xfId="13" applyNumberFormat="1" applyFont="1" applyFill="1" applyBorder="1" applyProtection="1"/>
    <xf numFmtId="38" fontId="5" fillId="0" borderId="7" xfId="13" applyNumberFormat="1" applyFont="1" applyBorder="1"/>
    <xf numFmtId="38" fontId="5" fillId="0" borderId="9" xfId="13" applyNumberFormat="1" applyFont="1" applyFill="1" applyBorder="1"/>
    <xf numFmtId="38" fontId="5" fillId="0" borderId="7" xfId="13" applyNumberFormat="1" applyFont="1" applyFill="1" applyBorder="1" applyAlignment="1">
      <alignment horizontal="fill"/>
    </xf>
    <xf numFmtId="38" fontId="4" fillId="0" borderId="11" xfId="13" applyNumberFormat="1" applyFont="1" applyFill="1" applyBorder="1"/>
    <xf numFmtId="38" fontId="12" fillId="0" borderId="7" xfId="13" applyNumberFormat="1" applyFont="1" applyBorder="1"/>
    <xf numFmtId="37" fontId="3" fillId="0" borderId="11" xfId="13" applyFont="1" applyBorder="1"/>
    <xf numFmtId="37" fontId="3" fillId="0" borderId="7" xfId="13" applyFont="1" applyBorder="1"/>
    <xf numFmtId="38" fontId="5" fillId="0" borderId="7" xfId="13" applyNumberFormat="1" applyFont="1" applyBorder="1" applyAlignment="1">
      <alignment horizontal="fill"/>
    </xf>
    <xf numFmtId="38" fontId="5" fillId="0" borderId="7" xfId="13" applyNumberFormat="1" applyFont="1" applyBorder="1" applyProtection="1"/>
    <xf numFmtId="38" fontId="4" fillId="0" borderId="9" xfId="13" applyNumberFormat="1" applyFont="1" applyBorder="1" applyAlignment="1">
      <alignment horizontal="fill"/>
    </xf>
    <xf numFmtId="10" fontId="4" fillId="2" borderId="0" xfId="13" applyNumberFormat="1" applyFont="1" applyFill="1" applyBorder="1"/>
    <xf numFmtId="37" fontId="16" fillId="0" borderId="0" xfId="13" applyFont="1" applyBorder="1"/>
    <xf numFmtId="167" fontId="16" fillId="0" borderId="0" xfId="13" applyNumberFormat="1" applyFont="1" applyBorder="1" applyProtection="1"/>
    <xf numFmtId="170" fontId="4" fillId="0" borderId="2" xfId="13" applyNumberFormat="1" applyFont="1" applyBorder="1"/>
    <xf numFmtId="170" fontId="4" fillId="0" borderId="5" xfId="13" applyNumberFormat="1" applyFont="1" applyBorder="1" applyAlignment="1">
      <alignment horizontal="center"/>
    </xf>
    <xf numFmtId="37" fontId="4" fillId="0" borderId="12" xfId="13" applyFont="1" applyBorder="1"/>
    <xf numFmtId="37" fontId="4" fillId="0" borderId="13" xfId="13" applyFont="1" applyBorder="1"/>
    <xf numFmtId="37" fontId="4" fillId="0" borderId="14" xfId="13" applyFont="1" applyBorder="1"/>
    <xf numFmtId="37" fontId="16" fillId="0" borderId="13" xfId="13" applyFont="1" applyBorder="1"/>
    <xf numFmtId="37" fontId="5" fillId="0" borderId="13" xfId="13" applyFont="1" applyBorder="1"/>
    <xf numFmtId="37" fontId="5" fillId="0" borderId="14" xfId="13" applyFont="1" applyBorder="1"/>
    <xf numFmtId="37" fontId="5" fillId="0" borderId="13" xfId="13" applyFont="1" applyFill="1" applyBorder="1"/>
    <xf numFmtId="170" fontId="4" fillId="0" borderId="8" xfId="13" applyNumberFormat="1" applyFont="1" applyBorder="1" applyAlignment="1">
      <alignment horizontal="center"/>
    </xf>
    <xf numFmtId="170" fontId="4" fillId="0" borderId="1" xfId="13" applyNumberFormat="1" applyFont="1" applyBorder="1" applyAlignment="1">
      <alignment horizontal="fill"/>
    </xf>
    <xf numFmtId="167" fontId="4" fillId="2" borderId="1" xfId="13" applyNumberFormat="1" applyFont="1" applyFill="1" applyBorder="1"/>
    <xf numFmtId="170" fontId="4" fillId="0" borderId="0" xfId="13" applyNumberFormat="1" applyFont="1" applyBorder="1" applyAlignment="1">
      <alignment horizontal="fill"/>
    </xf>
    <xf numFmtId="170" fontId="4" fillId="0" borderId="0" xfId="14" applyNumberFormat="1" applyFont="1" applyFill="1" applyBorder="1" applyProtection="1"/>
    <xf numFmtId="170" fontId="5" fillId="0" borderId="0" xfId="14" applyNumberFormat="1" applyFont="1" applyBorder="1" applyProtection="1"/>
    <xf numFmtId="170" fontId="3" fillId="0" borderId="0" xfId="13" applyNumberFormat="1" applyFont="1" applyBorder="1"/>
    <xf numFmtId="37" fontId="4" fillId="0" borderId="7" xfId="13" applyFont="1" applyBorder="1"/>
    <xf numFmtId="37" fontId="4" fillId="0" borderId="9" xfId="13" applyFont="1" applyBorder="1" applyAlignment="1">
      <alignment horizontal="center"/>
    </xf>
    <xf numFmtId="37" fontId="4" fillId="0" borderId="7" xfId="13" applyFont="1" applyBorder="1" applyAlignment="1">
      <alignment horizontal="fill"/>
    </xf>
    <xf numFmtId="37" fontId="14" fillId="0" borderId="16" xfId="13" applyFont="1" applyBorder="1"/>
    <xf numFmtId="39" fontId="15" fillId="2" borderId="17" xfId="13" applyNumberFormat="1" applyFont="1" applyFill="1" applyBorder="1"/>
    <xf numFmtId="37" fontId="4" fillId="0" borderId="18" xfId="13" applyFont="1" applyBorder="1"/>
    <xf numFmtId="37" fontId="14" fillId="0" borderId="1" xfId="13" applyFont="1" applyBorder="1"/>
    <xf numFmtId="39" fontId="15" fillId="2" borderId="0" xfId="13" applyNumberFormat="1" applyFont="1" applyFill="1" applyBorder="1"/>
    <xf numFmtId="37" fontId="14" fillId="0" borderId="19" xfId="13" applyFont="1" applyBorder="1"/>
    <xf numFmtId="37" fontId="15" fillId="2" borderId="20" xfId="13" applyFont="1" applyFill="1" applyBorder="1"/>
    <xf numFmtId="37" fontId="4" fillId="0" borderId="21" xfId="13" applyFont="1" applyBorder="1"/>
    <xf numFmtId="170" fontId="5" fillId="0" borderId="8" xfId="14" applyNumberFormat="1" applyFont="1" applyBorder="1" applyProtection="1"/>
    <xf numFmtId="170" fontId="5" fillId="0" borderId="5" xfId="14" applyNumberFormat="1" applyFont="1" applyBorder="1" applyProtection="1"/>
    <xf numFmtId="2" fontId="5" fillId="0" borderId="5" xfId="14" applyNumberFormat="1" applyFont="1" applyBorder="1" applyProtection="1"/>
    <xf numFmtId="168" fontId="4" fillId="0" borderId="0" xfId="13" applyNumberFormat="1" applyFont="1" applyProtection="1"/>
    <xf numFmtId="10" fontId="4" fillId="0" borderId="13" xfId="13" applyNumberFormat="1" applyFont="1" applyFill="1" applyBorder="1"/>
    <xf numFmtId="37" fontId="14" fillId="0" borderId="0" xfId="13" applyFont="1" applyFill="1"/>
    <xf numFmtId="37" fontId="8" fillId="0" borderId="0" xfId="13" applyFont="1"/>
    <xf numFmtId="170" fontId="4" fillId="0" borderId="16" xfId="13" applyNumberFormat="1" applyFont="1" applyBorder="1"/>
    <xf numFmtId="37" fontId="4" fillId="0" borderId="17" xfId="13" applyFont="1" applyBorder="1"/>
    <xf numFmtId="170" fontId="4" fillId="0" borderId="1" xfId="13" applyNumberFormat="1" applyFont="1" applyBorder="1" applyAlignment="1">
      <alignment horizontal="center"/>
    </xf>
    <xf numFmtId="38" fontId="5" fillId="0" borderId="11" xfId="13" applyNumberFormat="1" applyFont="1" applyFill="1" applyBorder="1"/>
    <xf numFmtId="38" fontId="4" fillId="0" borderId="11" xfId="13" applyNumberFormat="1" applyFont="1" applyBorder="1"/>
    <xf numFmtId="38" fontId="4" fillId="0" borderId="10" xfId="13" applyNumberFormat="1" applyFont="1" applyFill="1" applyBorder="1"/>
    <xf numFmtId="37" fontId="3" fillId="0" borderId="10" xfId="13" applyFont="1" applyBorder="1"/>
    <xf numFmtId="37" fontId="5" fillId="0" borderId="2" xfId="13" applyFont="1" applyBorder="1"/>
    <xf numFmtId="37" fontId="5" fillId="0" borderId="5" xfId="13" applyFont="1" applyBorder="1" applyAlignment="1">
      <alignment horizontal="center"/>
    </xf>
    <xf numFmtId="164" fontId="4" fillId="0" borderId="0" xfId="13" applyNumberFormat="1" applyFont="1" applyBorder="1"/>
    <xf numFmtId="37" fontId="5" fillId="0" borderId="0" xfId="13" applyFont="1" applyBorder="1" applyAlignment="1">
      <alignment horizontal="center"/>
    </xf>
    <xf numFmtId="9" fontId="5" fillId="0" borderId="0" xfId="14" applyFont="1" applyBorder="1" applyProtection="1"/>
    <xf numFmtId="164" fontId="5" fillId="0" borderId="5" xfId="13" applyNumberFormat="1" applyFont="1" applyFill="1" applyBorder="1" applyProtection="1"/>
    <xf numFmtId="164" fontId="4" fillId="0" borderId="0" xfId="13" applyNumberFormat="1" applyFont="1" applyFill="1" applyBorder="1" applyProtection="1"/>
    <xf numFmtId="169" fontId="5" fillId="0" borderId="0" xfId="13" applyNumberFormat="1" applyFont="1" applyFill="1" applyBorder="1"/>
    <xf numFmtId="167" fontId="5" fillId="0" borderId="0" xfId="13" applyNumberFormat="1" applyFont="1" applyFill="1" applyBorder="1" applyProtection="1"/>
    <xf numFmtId="39" fontId="5" fillId="0" borderId="0" xfId="13" applyNumberFormat="1" applyFont="1" applyFill="1" applyBorder="1"/>
    <xf numFmtId="37" fontId="5" fillId="0" borderId="1" xfId="13" applyFont="1" applyBorder="1" applyAlignment="1">
      <alignment horizontal="left"/>
    </xf>
    <xf numFmtId="37" fontId="5" fillId="0" borderId="1" xfId="13" applyFont="1" applyBorder="1" applyAlignment="1">
      <alignment horizontal="left" indent="1"/>
    </xf>
    <xf numFmtId="37" fontId="4" fillId="0" borderId="0" xfId="13" applyFont="1" applyFill="1" applyBorder="1"/>
    <xf numFmtId="37" fontId="4" fillId="0" borderId="13" xfId="13" applyFont="1" applyFill="1" applyBorder="1"/>
    <xf numFmtId="37" fontId="5" fillId="0" borderId="0" xfId="13" applyFont="1" applyFill="1"/>
    <xf numFmtId="37" fontId="4" fillId="0" borderId="0" xfId="13" applyFont="1" applyFill="1"/>
    <xf numFmtId="37" fontId="4" fillId="0" borderId="15" xfId="13" applyFont="1" applyBorder="1"/>
    <xf numFmtId="37" fontId="5" fillId="0" borderId="1" xfId="13" applyFont="1" applyBorder="1" applyAlignment="1">
      <alignment horizontal="center"/>
    </xf>
    <xf numFmtId="37" fontId="4" fillId="0" borderId="1" xfId="13" applyFont="1" applyBorder="1" applyAlignment="1">
      <alignment horizontal="fill"/>
    </xf>
    <xf numFmtId="37" fontId="4" fillId="0" borderId="8" xfId="13" applyFont="1" applyBorder="1"/>
    <xf numFmtId="37" fontId="16" fillId="0" borderId="1" xfId="13" applyFont="1" applyBorder="1" applyAlignment="1">
      <alignment horizontal="left" indent="2"/>
    </xf>
    <xf numFmtId="37" fontId="4" fillId="0" borderId="1" xfId="13" applyFont="1" applyBorder="1" applyAlignment="1">
      <alignment horizontal="left" indent="1"/>
    </xf>
    <xf numFmtId="37" fontId="5" fillId="0" borderId="1" xfId="13" applyFont="1" applyBorder="1" applyAlignment="1">
      <alignment horizontal="left" indent="2"/>
    </xf>
    <xf numFmtId="37" fontId="12" fillId="0" borderId="1" xfId="13" applyFont="1" applyBorder="1"/>
    <xf numFmtId="37" fontId="4" fillId="0" borderId="1" xfId="13" applyFont="1" applyFill="1" applyBorder="1" applyAlignment="1">
      <alignment horizontal="left" indent="2"/>
    </xf>
    <xf numFmtId="37" fontId="12" fillId="0" borderId="1" xfId="13" applyFont="1" applyBorder="1" applyAlignment="1">
      <alignment horizontal="left"/>
    </xf>
    <xf numFmtId="37" fontId="16" fillId="0" borderId="1" xfId="13" applyFont="1" applyBorder="1" applyAlignment="1">
      <alignment horizontal="left" wrapText="1" indent="2"/>
    </xf>
    <xf numFmtId="37" fontId="16" fillId="0" borderId="1" xfId="13" applyFont="1" applyBorder="1" applyAlignment="1">
      <alignment horizontal="left" indent="3"/>
    </xf>
    <xf numFmtId="37" fontId="5" fillId="0" borderId="1" xfId="13" applyFont="1" applyFill="1" applyBorder="1" applyAlignment="1">
      <alignment horizontal="left" indent="2"/>
    </xf>
    <xf numFmtId="170" fontId="4" fillId="2" borderId="0" xfId="13" applyNumberFormat="1" applyFont="1" applyFill="1" applyBorder="1" applyProtection="1"/>
    <xf numFmtId="38" fontId="4" fillId="2" borderId="0" xfId="13" applyNumberFormat="1" applyFont="1" applyFill="1" applyBorder="1"/>
    <xf numFmtId="170" fontId="4" fillId="2" borderId="1" xfId="13" applyNumberFormat="1" applyFont="1" applyFill="1" applyBorder="1" applyProtection="1"/>
    <xf numFmtId="37" fontId="5" fillId="0" borderId="1" xfId="13" applyFont="1" applyBorder="1" applyAlignment="1">
      <alignment horizontal="right"/>
    </xf>
    <xf numFmtId="37" fontId="5" fillId="0" borderId="13" xfId="13" applyFont="1" applyBorder="1" applyAlignment="1">
      <alignment horizontal="center"/>
    </xf>
    <xf numFmtId="37" fontId="4" fillId="0" borderId="13" xfId="13" applyFont="1" applyBorder="1" applyAlignment="1">
      <alignment horizontal="fill"/>
    </xf>
    <xf numFmtId="37" fontId="5" fillId="3" borderId="13" xfId="13" applyFont="1" applyFill="1" applyBorder="1"/>
    <xf numFmtId="37" fontId="14" fillId="0" borderId="0" xfId="13" applyFont="1" applyBorder="1" applyAlignment="1">
      <alignment horizontal="center" vertical="center"/>
    </xf>
    <xf numFmtId="37" fontId="14" fillId="0" borderId="25" xfId="13" applyFont="1" applyBorder="1" applyAlignment="1">
      <alignment horizontal="center" vertical="center"/>
    </xf>
    <xf numFmtId="37" fontId="14" fillId="0" borderId="0" xfId="13" applyFont="1" applyBorder="1" applyAlignment="1">
      <alignment horizontal="center" vertical="center" wrapText="1"/>
    </xf>
    <xf numFmtId="37" fontId="14" fillId="0" borderId="25" xfId="13" applyFont="1" applyBorder="1" applyAlignment="1">
      <alignment horizontal="center" vertical="center" wrapText="1"/>
    </xf>
    <xf numFmtId="37" fontId="14" fillId="0" borderId="0" xfId="13" applyFont="1" applyFill="1" applyBorder="1" applyAlignment="1">
      <alignment horizontal="center"/>
    </xf>
    <xf numFmtId="37" fontId="14" fillId="0" borderId="25" xfId="13" applyFont="1" applyFill="1" applyBorder="1" applyAlignment="1">
      <alignment horizontal="center"/>
    </xf>
    <xf numFmtId="170" fontId="5" fillId="0" borderId="22" xfId="13" applyNumberFormat="1" applyFont="1" applyBorder="1" applyAlignment="1">
      <alignment horizontal="center"/>
    </xf>
    <xf numFmtId="170" fontId="5" fillId="0" borderId="23" xfId="13" applyNumberFormat="1" applyFont="1" applyBorder="1" applyAlignment="1">
      <alignment horizontal="center"/>
    </xf>
    <xf numFmtId="170" fontId="5" fillId="0" borderId="24" xfId="13" applyNumberFormat="1" applyFont="1" applyBorder="1" applyAlignment="1">
      <alignment horizontal="center"/>
    </xf>
    <xf numFmtId="37" fontId="5" fillId="0" borderId="0" xfId="13" applyFont="1" applyBorder="1" applyAlignment="1">
      <alignment horizontal="center"/>
    </xf>
    <xf numFmtId="37" fontId="5" fillId="0" borderId="4" xfId="13" applyFont="1" applyBorder="1" applyAlignment="1">
      <alignment horizontal="center"/>
    </xf>
    <xf numFmtId="164" fontId="4" fillId="0" borderId="1" xfId="13" applyNumberFormat="1" applyFont="1" applyBorder="1" applyAlignment="1">
      <alignment horizontal="center"/>
    </xf>
    <xf numFmtId="164" fontId="4" fillId="0" borderId="0" xfId="13" applyNumberFormat="1" applyFont="1" applyBorder="1" applyAlignment="1">
      <alignment horizontal="center"/>
    </xf>
    <xf numFmtId="164" fontId="4" fillId="0" borderId="7" xfId="13" applyNumberFormat="1" applyFont="1" applyBorder="1" applyAlignment="1">
      <alignment horizontal="center"/>
    </xf>
  </cellXfs>
  <cellStyles count="4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Normal" xfId="0" builtinId="0"/>
    <cellStyle name="Normal 2" xfId="13"/>
    <cellStyle name="Percent 2" xfId="1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590549</xdr:colOff>
      <xdr:row>0</xdr:row>
      <xdr:rowOff>0</xdr:rowOff>
    </xdr:from>
    <xdr:to>
      <xdr:col>2</xdr:col>
      <xdr:colOff>1914524</xdr:colOff>
      <xdr:row>3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145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590549</xdr:colOff>
      <xdr:row>0</xdr:row>
      <xdr:rowOff>0</xdr:rowOff>
    </xdr:from>
    <xdr:to>
      <xdr:col>2</xdr:col>
      <xdr:colOff>1990725</xdr:colOff>
      <xdr:row>3</xdr:row>
      <xdr:rowOff>76199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90726" cy="657224"/>
        </a:xfrm>
        <a:prstGeom prst="rect">
          <a:avLst/>
        </a:prstGeom>
      </xdr:spPr>
    </xdr:pic>
    <xdr:clientData/>
  </xdr:twoCellAnchor>
  <xdr:twoCellAnchor>
    <xdr:from>
      <xdr:col>1</xdr:col>
      <xdr:colOff>590549</xdr:colOff>
      <xdr:row>0</xdr:row>
      <xdr:rowOff>0</xdr:rowOff>
    </xdr:from>
    <xdr:to>
      <xdr:col>2</xdr:col>
      <xdr:colOff>1914524</xdr:colOff>
      <xdr:row>3</xdr:row>
      <xdr:rowOff>85725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4" y="0"/>
          <a:ext cx="19145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S52"/>
  <sheetViews>
    <sheetView zoomScale="80" zoomScaleNormal="80" zoomScalePageLayoutView="80" workbookViewId="0">
      <selection activeCell="A12" sqref="A12"/>
    </sheetView>
  </sheetViews>
  <sheetFormatPr defaultColWidth="8.85546875" defaultRowHeight="15.75" x14ac:dyDescent="0.25"/>
  <cols>
    <col min="1" max="1" width="71" style="5" customWidth="1"/>
    <col min="2" max="2" width="1.85546875" customWidth="1"/>
    <col min="3" max="3" width="20.140625" style="5" customWidth="1"/>
    <col min="4" max="7" width="14.7109375" style="5" customWidth="1"/>
    <col min="8" max="8" width="1.85546875" customWidth="1"/>
    <col min="9" max="9" width="17.5703125" style="5" customWidth="1"/>
    <col min="10" max="13" width="16" style="5" customWidth="1"/>
    <col min="14" max="14" width="3.28515625" customWidth="1"/>
    <col min="15" max="15" width="18.5703125" style="5" customWidth="1"/>
    <col min="16" max="19" width="13.42578125" style="5" customWidth="1"/>
  </cols>
  <sheetData>
    <row r="1" spans="1:19" x14ac:dyDescent="0.25">
      <c r="A1" s="165" t="s">
        <v>0</v>
      </c>
      <c r="C1" s="165"/>
      <c r="D1" s="165"/>
      <c r="E1" s="165"/>
      <c r="F1" s="165"/>
      <c r="G1" s="165"/>
      <c r="I1" s="165"/>
      <c r="J1" s="165"/>
      <c r="K1" s="165"/>
      <c r="L1" s="165"/>
      <c r="M1" s="165"/>
      <c r="O1" s="165"/>
      <c r="P1" s="165"/>
      <c r="Q1" s="165"/>
      <c r="R1" s="165"/>
      <c r="S1" s="165"/>
    </row>
    <row r="2" spans="1:19" x14ac:dyDescent="0.25">
      <c r="A2" s="165"/>
      <c r="C2" s="165"/>
      <c r="D2" s="165"/>
      <c r="E2" s="165"/>
      <c r="F2" s="165"/>
      <c r="G2" s="165"/>
      <c r="I2" s="165"/>
      <c r="J2" s="165"/>
      <c r="K2" s="165"/>
      <c r="L2" s="165"/>
      <c r="M2" s="165"/>
      <c r="O2" s="165"/>
      <c r="P2" s="165"/>
      <c r="Q2" s="165"/>
      <c r="R2" s="165"/>
      <c r="S2" s="165"/>
    </row>
    <row r="3" spans="1:19" x14ac:dyDescent="0.25">
      <c r="A3" s="164" t="s">
        <v>1</v>
      </c>
      <c r="C3" s="164"/>
      <c r="D3" s="164"/>
      <c r="E3" s="164"/>
      <c r="F3" s="164"/>
      <c r="G3" s="164"/>
      <c r="I3" s="164"/>
      <c r="J3" s="164"/>
      <c r="K3" s="164"/>
      <c r="L3" s="164"/>
      <c r="M3" s="164"/>
      <c r="O3" s="164"/>
      <c r="P3" s="164"/>
      <c r="Q3" s="164"/>
      <c r="R3" s="164"/>
      <c r="S3" s="164"/>
    </row>
    <row r="4" spans="1:19" x14ac:dyDescent="0.25">
      <c r="A4" s="165" t="s">
        <v>2</v>
      </c>
      <c r="C4" s="165"/>
      <c r="D4" s="165"/>
      <c r="E4" s="165"/>
      <c r="F4" s="165"/>
      <c r="G4" s="165"/>
      <c r="I4" s="165"/>
      <c r="J4" s="165"/>
      <c r="K4" s="165"/>
      <c r="L4" s="165"/>
      <c r="M4" s="165"/>
      <c r="O4" s="165"/>
      <c r="P4" s="165"/>
      <c r="Q4" s="165"/>
      <c r="R4" s="165"/>
      <c r="S4" s="165"/>
    </row>
    <row r="5" spans="1:19" x14ac:dyDescent="0.25">
      <c r="A5" s="165" t="s">
        <v>3</v>
      </c>
      <c r="C5" s="165"/>
      <c r="D5" s="165"/>
      <c r="E5" s="165"/>
      <c r="F5" s="165"/>
      <c r="G5" s="165"/>
      <c r="I5" s="165"/>
      <c r="J5" s="165"/>
      <c r="K5" s="165"/>
      <c r="L5" s="165"/>
      <c r="M5" s="165"/>
      <c r="O5" s="165"/>
      <c r="P5" s="165"/>
      <c r="Q5" s="165"/>
      <c r="R5" s="165"/>
      <c r="S5" s="165"/>
    </row>
    <row r="6" spans="1:19" x14ac:dyDescent="0.25">
      <c r="A6" s="164" t="s">
        <v>4</v>
      </c>
      <c r="C6" s="164"/>
      <c r="D6" s="164"/>
      <c r="E6" s="164"/>
      <c r="F6" s="164"/>
      <c r="G6" s="164"/>
      <c r="I6" s="164"/>
      <c r="J6" s="164"/>
      <c r="K6" s="164"/>
      <c r="L6" s="164"/>
      <c r="M6" s="164"/>
      <c r="O6" s="164"/>
      <c r="P6" s="164"/>
      <c r="Q6" s="164"/>
      <c r="R6" s="164"/>
      <c r="S6" s="164"/>
    </row>
    <row r="7" spans="1:19" ht="15.75" customHeight="1" x14ac:dyDescent="0.25">
      <c r="A7" s="190"/>
      <c r="C7" s="186" t="s">
        <v>5</v>
      </c>
      <c r="D7" s="186"/>
      <c r="E7" s="186"/>
      <c r="F7" s="186"/>
      <c r="G7" s="186"/>
      <c r="I7" s="186" t="s">
        <v>6</v>
      </c>
      <c r="J7" s="186"/>
      <c r="K7" s="186"/>
      <c r="L7" s="186"/>
      <c r="M7" s="186"/>
      <c r="O7" s="188" t="s">
        <v>7</v>
      </c>
      <c r="P7" s="188"/>
      <c r="Q7" s="188"/>
      <c r="R7" s="188"/>
      <c r="S7" s="188"/>
    </row>
    <row r="8" spans="1:19" ht="15.75" customHeight="1" x14ac:dyDescent="0.25">
      <c r="A8" s="191"/>
      <c r="C8" s="187"/>
      <c r="D8" s="187"/>
      <c r="E8" s="187"/>
      <c r="F8" s="187"/>
      <c r="G8" s="187"/>
      <c r="I8" s="187"/>
      <c r="J8" s="187"/>
      <c r="K8" s="187"/>
      <c r="L8" s="187"/>
      <c r="M8" s="187"/>
      <c r="O8" s="189"/>
      <c r="P8" s="189"/>
      <c r="Q8" s="189"/>
      <c r="R8" s="189"/>
      <c r="S8" s="189"/>
    </row>
    <row r="9" spans="1:19" x14ac:dyDescent="0.25">
      <c r="A9" s="166"/>
      <c r="C9" s="166"/>
      <c r="D9" s="166"/>
      <c r="E9" s="166"/>
      <c r="F9" s="166"/>
      <c r="G9" s="111"/>
      <c r="I9" s="166"/>
      <c r="J9" s="166"/>
      <c r="K9" s="166"/>
      <c r="L9" s="166"/>
      <c r="M9" s="111"/>
      <c r="O9" s="166"/>
      <c r="P9" s="166"/>
      <c r="Q9" s="166"/>
      <c r="R9" s="166"/>
      <c r="S9" s="111"/>
    </row>
    <row r="10" spans="1:19" x14ac:dyDescent="0.25">
      <c r="A10" s="160" t="s">
        <v>8</v>
      </c>
      <c r="C10" s="167" t="s">
        <v>9</v>
      </c>
      <c r="D10" s="167" t="s">
        <v>10</v>
      </c>
      <c r="E10" s="167" t="s">
        <v>11</v>
      </c>
      <c r="F10" s="167" t="s">
        <v>12</v>
      </c>
      <c r="G10" s="183" t="s">
        <v>13</v>
      </c>
      <c r="I10" s="167" t="s">
        <v>14</v>
      </c>
      <c r="J10" s="167" t="s">
        <v>15</v>
      </c>
      <c r="K10" s="167" t="s">
        <v>16</v>
      </c>
      <c r="L10" s="167" t="s">
        <v>17</v>
      </c>
      <c r="M10" s="183" t="s">
        <v>18</v>
      </c>
      <c r="O10" s="167" t="s">
        <v>19</v>
      </c>
      <c r="P10" s="167" t="s">
        <v>20</v>
      </c>
      <c r="Q10" s="167" t="s">
        <v>21</v>
      </c>
      <c r="R10" s="167" t="s">
        <v>22</v>
      </c>
      <c r="S10" s="183" t="s">
        <v>23</v>
      </c>
    </row>
    <row r="11" spans="1:19" ht="16.5" thickBot="1" x14ac:dyDescent="0.3">
      <c r="A11" s="169" t="s">
        <v>24</v>
      </c>
      <c r="C11" s="169"/>
      <c r="D11" s="169"/>
      <c r="E11" s="169"/>
      <c r="F11" s="169"/>
      <c r="G11" s="113"/>
      <c r="I11" s="169"/>
      <c r="J11" s="169"/>
      <c r="K11" s="169"/>
      <c r="L11" s="169"/>
      <c r="M11" s="113"/>
      <c r="O11" s="169"/>
      <c r="P11" s="169"/>
      <c r="Q11" s="169"/>
      <c r="R11" s="169"/>
      <c r="S11" s="113"/>
    </row>
    <row r="12" spans="1:19" ht="16.5" thickTop="1" x14ac:dyDescent="0.25">
      <c r="A12" s="168"/>
      <c r="C12" s="168"/>
      <c r="D12" s="168"/>
      <c r="E12" s="168"/>
      <c r="F12" s="168"/>
      <c r="G12" s="184"/>
      <c r="I12" s="168"/>
      <c r="J12" s="168"/>
      <c r="K12" s="168"/>
      <c r="L12" s="168"/>
      <c r="M12" s="184"/>
      <c r="O12" s="168"/>
      <c r="P12" s="168"/>
      <c r="Q12" s="168"/>
      <c r="R12" s="168"/>
      <c r="S12" s="184"/>
    </row>
    <row r="13" spans="1:19" x14ac:dyDescent="0.25">
      <c r="A13" s="38" t="s">
        <v>25</v>
      </c>
      <c r="C13" s="38"/>
      <c r="D13" s="38"/>
      <c r="E13" s="38"/>
      <c r="F13" s="38"/>
      <c r="G13" s="115"/>
      <c r="I13" s="38"/>
      <c r="J13" s="38"/>
      <c r="K13" s="38"/>
      <c r="L13" s="38"/>
      <c r="M13" s="115"/>
      <c r="O13" s="38"/>
      <c r="P13" s="38"/>
      <c r="Q13" s="38"/>
      <c r="R13" s="38"/>
      <c r="S13" s="115"/>
    </row>
    <row r="14" spans="1:19" x14ac:dyDescent="0.25">
      <c r="A14" s="38"/>
      <c r="C14" s="38"/>
      <c r="D14" s="38"/>
      <c r="E14" s="38"/>
      <c r="F14" s="38"/>
      <c r="G14" s="115"/>
      <c r="I14" s="38"/>
      <c r="J14" s="38"/>
      <c r="K14" s="38"/>
      <c r="L14" s="38"/>
      <c r="M14" s="115"/>
      <c r="O14" s="38"/>
      <c r="P14" s="38"/>
      <c r="Q14" s="38"/>
      <c r="R14" s="38"/>
      <c r="S14" s="115"/>
    </row>
    <row r="15" spans="1:19" x14ac:dyDescent="0.25">
      <c r="A15" s="38" t="s">
        <v>26</v>
      </c>
      <c r="C15" s="74">
        <f>'Budg surv dur - 1 éq + ATCD'!G27</f>
        <v>26700</v>
      </c>
      <c r="D15" s="74">
        <f>'Budg surv dur - 1 éq + ATCD'!J27</f>
        <v>13500</v>
      </c>
      <c r="E15" s="74">
        <f>'Budg surv dur - 1 éq + ATCD'!M27</f>
        <v>13905</v>
      </c>
      <c r="F15" s="74">
        <f>'Budg surv dur - 1 éq + ATCD'!P27</f>
        <v>23870</v>
      </c>
      <c r="G15" s="115">
        <f>SUM(C15:F15)</f>
        <v>77975</v>
      </c>
      <c r="I15" s="74">
        <f>'Budg surv dur - 2 éq + ATCD'!G27</f>
        <v>26700</v>
      </c>
      <c r="J15" s="74">
        <f>'Budg surv dur - 2 éq + ATCD'!J27</f>
        <v>13500</v>
      </c>
      <c r="K15" s="74">
        <f>'Budg surv dur - 2 éq + ATCD'!M27</f>
        <v>13905</v>
      </c>
      <c r="L15" s="74">
        <f>'Budg surv dur - 2 éq + ATCD'!P27</f>
        <v>23870</v>
      </c>
      <c r="M15" s="115">
        <f>SUM(I15:L15)</f>
        <v>77975</v>
      </c>
      <c r="O15" s="74">
        <f>'Budg surv dur - 2 éq sans ATCD'!G27</f>
        <v>8400</v>
      </c>
      <c r="P15" s="74">
        <f>'Budg surv dur - 2 éq sans ATCD'!J27</f>
        <v>2400</v>
      </c>
      <c r="Q15" s="74">
        <f>'Budg surv dur - 2 éq sans ATCD'!M27</f>
        <v>2472</v>
      </c>
      <c r="R15" s="74">
        <f>'Budg surv dur - 2 éq sans ATCD'!P27</f>
        <v>2547</v>
      </c>
      <c r="S15" s="115">
        <f>SUM(O15:R15)</f>
        <v>15819</v>
      </c>
    </row>
    <row r="16" spans="1:19" x14ac:dyDescent="0.25">
      <c r="A16" s="38" t="s">
        <v>27</v>
      </c>
      <c r="C16" s="74">
        <f>'Budg surv dur - 1 éq + ATCD'!G34</f>
        <v>8750</v>
      </c>
      <c r="D16" s="74">
        <f>'Budg surv dur - 1 éq + ATCD'!J34</f>
        <v>7750</v>
      </c>
      <c r="E16" s="74">
        <f>'Budg surv dur - 1 éq + ATCD'!M34</f>
        <v>7983</v>
      </c>
      <c r="F16" s="74">
        <f>'Budg surv dur - 1 éq + ATCD'!P34</f>
        <v>8222</v>
      </c>
      <c r="G16" s="115">
        <f>SUM(C16:F16)</f>
        <v>32705</v>
      </c>
      <c r="I16" s="74">
        <f>'Budg surv dur - 2 éq + ATCD'!G34</f>
        <v>8750</v>
      </c>
      <c r="J16" s="74">
        <f>'Budg surv dur - 2 éq + ATCD'!J34</f>
        <v>7750</v>
      </c>
      <c r="K16" s="74">
        <f>'Budg surv dur - 2 éq + ATCD'!M34</f>
        <v>7983</v>
      </c>
      <c r="L16" s="74">
        <f>'Budg surv dur - 2 éq + ATCD'!P34</f>
        <v>8222</v>
      </c>
      <c r="M16" s="115">
        <f>SUM(I16:L16)</f>
        <v>32705</v>
      </c>
      <c r="O16" s="74">
        <f>'Budg surv dur - 2 éq sans ATCD'!G39</f>
        <v>8750</v>
      </c>
      <c r="P16" s="74">
        <f>'Budg surv dur - 2 éq sans ATCD'!J39</f>
        <v>7750</v>
      </c>
      <c r="Q16" s="74">
        <f>'Budg surv dur - 2 éq sans ATCD'!M39</f>
        <v>7983</v>
      </c>
      <c r="R16" s="74">
        <f>'Budg surv dur - 2 éq sans ATCD'!P39</f>
        <v>8222</v>
      </c>
      <c r="S16" s="115">
        <f>SUM(O16:R16)</f>
        <v>32705</v>
      </c>
    </row>
    <row r="17" spans="1:19" ht="16.5" thickBot="1" x14ac:dyDescent="0.3">
      <c r="A17" s="48" t="s">
        <v>28</v>
      </c>
      <c r="C17" s="48">
        <f>C16+C15</f>
        <v>35450</v>
      </c>
      <c r="D17" s="48">
        <f>D16+D15</f>
        <v>21250</v>
      </c>
      <c r="E17" s="48">
        <f>E16+E15</f>
        <v>21888</v>
      </c>
      <c r="F17" s="48">
        <f>F16+F15</f>
        <v>32092</v>
      </c>
      <c r="G17" s="116">
        <f>G16+G15</f>
        <v>110680</v>
      </c>
      <c r="I17" s="48">
        <f>I16+I15</f>
        <v>35450</v>
      </c>
      <c r="J17" s="48">
        <f>J16+J15</f>
        <v>21250</v>
      </c>
      <c r="K17" s="48">
        <f>K16+K15</f>
        <v>21888</v>
      </c>
      <c r="L17" s="48">
        <f>L16+L15</f>
        <v>32092</v>
      </c>
      <c r="M17" s="116">
        <f>M16+M15</f>
        <v>110680</v>
      </c>
      <c r="O17" s="48">
        <f>O16+O15</f>
        <v>17150</v>
      </c>
      <c r="P17" s="48">
        <f>P16+P15</f>
        <v>10150</v>
      </c>
      <c r="Q17" s="48">
        <f>Q16+Q15</f>
        <v>10455</v>
      </c>
      <c r="R17" s="48">
        <f>R16+R15</f>
        <v>10769</v>
      </c>
      <c r="S17" s="116">
        <f>S16+S15</f>
        <v>48524</v>
      </c>
    </row>
    <row r="18" spans="1:19" ht="16.5" thickTop="1" x14ac:dyDescent="0.25">
      <c r="A18" s="74"/>
      <c r="C18" s="74"/>
      <c r="D18" s="74"/>
      <c r="E18" s="74"/>
      <c r="F18" s="74"/>
      <c r="G18" s="112"/>
      <c r="I18" s="74"/>
      <c r="J18" s="74"/>
      <c r="K18" s="74"/>
      <c r="L18" s="74"/>
      <c r="M18" s="112"/>
      <c r="O18" s="74"/>
      <c r="P18" s="74"/>
      <c r="Q18" s="74"/>
      <c r="R18" s="74"/>
      <c r="S18" s="112"/>
    </row>
    <row r="19" spans="1:19" x14ac:dyDescent="0.25">
      <c r="A19" s="38" t="s">
        <v>29</v>
      </c>
      <c r="C19" s="38"/>
      <c r="D19" s="38"/>
      <c r="E19" s="38"/>
      <c r="F19" s="38"/>
      <c r="G19" s="115"/>
      <c r="I19" s="38"/>
      <c r="J19" s="38"/>
      <c r="K19" s="38"/>
      <c r="L19" s="38"/>
      <c r="M19" s="115"/>
      <c r="O19" s="38"/>
      <c r="P19" s="38"/>
      <c r="Q19" s="38"/>
      <c r="R19" s="38"/>
      <c r="S19" s="115"/>
    </row>
    <row r="20" spans="1:19" ht="16.5" thickBot="1" x14ac:dyDescent="0.3">
      <c r="A20" s="48" t="s">
        <v>30</v>
      </c>
      <c r="C20" s="48">
        <f>'Budg surv dur - 1 éq + ATCD'!G42</f>
        <v>4005</v>
      </c>
      <c r="D20" s="48">
        <f>'Budg surv dur - 1 éq + ATCD'!J42</f>
        <v>2025</v>
      </c>
      <c r="E20" s="48">
        <f>'Budg surv dur - 1 éq + ATCD'!M42</f>
        <v>2086</v>
      </c>
      <c r="F20" s="48">
        <f>'Budg surv dur - 1 éq + ATCD'!P42</f>
        <v>3581</v>
      </c>
      <c r="G20" s="116">
        <f>SUM(C20:F20)</f>
        <v>11697</v>
      </c>
      <c r="I20" s="48">
        <f>'Budg surv dur - 2 éq + ATCD'!G42</f>
        <v>4005</v>
      </c>
      <c r="J20" s="48">
        <f>'Budg surv dur - 2 éq + ATCD'!J42</f>
        <v>2025</v>
      </c>
      <c r="K20" s="48">
        <f>'Budg surv dur - 2 éq + ATCD'!M42</f>
        <v>2086</v>
      </c>
      <c r="L20" s="48">
        <f>'Budg surv dur - 2 éq + ATCD'!P42</f>
        <v>3581</v>
      </c>
      <c r="M20" s="116">
        <f>SUM(I20:L20)</f>
        <v>11697</v>
      </c>
      <c r="O20" s="48">
        <f>'Budg surv dur - 2 éq sans ATCD'!G47</f>
        <v>1260</v>
      </c>
      <c r="P20" s="48">
        <f>'Budg surv dur - 2 éq sans ATCD'!J47</f>
        <v>360</v>
      </c>
      <c r="Q20" s="48">
        <f>'Budg surv dur - 2 éq sans ATCD'!M47</f>
        <v>371</v>
      </c>
      <c r="R20" s="48">
        <f>'Budg surv dur - 2 éq sans ATCD'!P47</f>
        <v>382</v>
      </c>
      <c r="S20" s="116">
        <f>SUM(O20:R20)</f>
        <v>2373</v>
      </c>
    </row>
    <row r="21" spans="1:19" ht="16.5" thickTop="1" x14ac:dyDescent="0.25">
      <c r="A21" s="74"/>
      <c r="C21" s="74"/>
      <c r="D21" s="74"/>
      <c r="E21" s="74"/>
      <c r="F21" s="74"/>
      <c r="G21" s="112"/>
      <c r="I21" s="74"/>
      <c r="J21" s="74"/>
      <c r="K21" s="74"/>
      <c r="L21" s="74"/>
      <c r="M21" s="112"/>
      <c r="O21" s="74"/>
      <c r="P21" s="74"/>
      <c r="Q21" s="74"/>
      <c r="R21" s="74"/>
      <c r="S21" s="112"/>
    </row>
    <row r="22" spans="1:19" ht="15" customHeight="1" x14ac:dyDescent="0.25">
      <c r="A22" s="38" t="s">
        <v>31</v>
      </c>
      <c r="C22" s="38"/>
      <c r="D22" s="38"/>
      <c r="E22" s="38"/>
      <c r="F22" s="38"/>
      <c r="G22" s="115"/>
      <c r="I22" s="38"/>
      <c r="J22" s="38"/>
      <c r="K22" s="38"/>
      <c r="L22" s="38"/>
      <c r="M22" s="115"/>
      <c r="O22" s="38"/>
      <c r="P22" s="38"/>
      <c r="Q22" s="38"/>
      <c r="R22" s="38"/>
      <c r="S22" s="115"/>
    </row>
    <row r="23" spans="1:19" x14ac:dyDescent="0.25">
      <c r="A23" s="38" t="s">
        <v>32</v>
      </c>
      <c r="C23" s="38">
        <f>'Budg surv dur - 1 éq + ATCD'!G61</f>
        <v>6650</v>
      </c>
      <c r="D23" s="38">
        <f>'Budg surv dur - 1 éq + ATCD'!J61</f>
        <v>2950</v>
      </c>
      <c r="E23" s="38">
        <f>'Budg surv dur - 1 éq + ATCD'!M61</f>
        <v>3039</v>
      </c>
      <c r="F23" s="38">
        <f>'Budg surv dur - 1 éq + ATCD'!P61</f>
        <v>5199</v>
      </c>
      <c r="G23" s="115">
        <f>SUM(C23:F23)</f>
        <v>17838</v>
      </c>
      <c r="I23" s="38">
        <f>'Budg surv dur - 2 éq + ATCD'!G61</f>
        <v>6650</v>
      </c>
      <c r="J23" s="38">
        <f>'Budg surv dur - 2 éq + ATCD'!J61</f>
        <v>2950</v>
      </c>
      <c r="K23" s="38">
        <f>'Budg surv dur - 2 éq + ATCD'!M61</f>
        <v>3039</v>
      </c>
      <c r="L23" s="38">
        <f>'Budg surv dur - 2 éq + ATCD'!P61</f>
        <v>5199</v>
      </c>
      <c r="M23" s="115">
        <f>SUM(I23:L23)</f>
        <v>17838</v>
      </c>
      <c r="O23" s="38">
        <f>'Budg surv dur - 2 éq sans ATCD'!G66</f>
        <v>3200</v>
      </c>
      <c r="P23" s="38">
        <f>'Budg surv dur - 2 éq sans ATCD'!J66</f>
        <v>0</v>
      </c>
      <c r="Q23" s="38">
        <f>'Budg surv dur - 2 éq sans ATCD'!M66</f>
        <v>0</v>
      </c>
      <c r="R23" s="38">
        <f>'Budg surv dur - 2 éq sans ATCD'!P66</f>
        <v>0</v>
      </c>
      <c r="S23" s="115">
        <f>SUM(O23:R23)</f>
        <v>3200</v>
      </c>
    </row>
    <row r="24" spans="1:19" x14ac:dyDescent="0.25">
      <c r="A24" s="38" t="s">
        <v>33</v>
      </c>
      <c r="C24" s="38">
        <f>'Budg surv dur - 1 éq + ATCD'!G76</f>
        <v>8450</v>
      </c>
      <c r="D24" s="38">
        <f>'Budg surv dur - 1 éq + ATCD'!J76</f>
        <v>7950</v>
      </c>
      <c r="E24" s="38">
        <f>'Budg surv dur - 1 éq + ATCD'!M76</f>
        <v>8189</v>
      </c>
      <c r="F24" s="38">
        <f>'Budg surv dur - 1 éq + ATCD'!P76</f>
        <v>8593</v>
      </c>
      <c r="G24" s="115">
        <f>SUM(C24:F24)</f>
        <v>33182</v>
      </c>
      <c r="I24" s="38">
        <f>'Budg surv dur - 2 éq + ATCD'!G76</f>
        <v>8450</v>
      </c>
      <c r="J24" s="38">
        <f>'Budg surv dur - 2 éq + ATCD'!J76</f>
        <v>7950</v>
      </c>
      <c r="K24" s="38">
        <f>'Budg surv dur - 2 éq + ATCD'!M76</f>
        <v>8189</v>
      </c>
      <c r="L24" s="38">
        <f>'Budg surv dur - 2 éq + ATCD'!P76</f>
        <v>8593</v>
      </c>
      <c r="M24" s="115">
        <f>SUM(I24:L24)</f>
        <v>33182</v>
      </c>
      <c r="O24" s="38">
        <f>'Budg surv dur - 2 éq sans ATCD'!G81</f>
        <v>8450</v>
      </c>
      <c r="P24" s="38">
        <f>'Budg surv dur - 2 éq sans ATCD'!J81</f>
        <v>7950</v>
      </c>
      <c r="Q24" s="38">
        <f>'Budg surv dur - 2 éq sans ATCD'!M81</f>
        <v>8189</v>
      </c>
      <c r="R24" s="38">
        <f>'Budg surv dur - 2 éq sans ATCD'!P81</f>
        <v>8593</v>
      </c>
      <c r="S24" s="115">
        <f>SUM(O24:R24)</f>
        <v>33182</v>
      </c>
    </row>
    <row r="25" spans="1:19" ht="16.5" thickBot="1" x14ac:dyDescent="0.3">
      <c r="A25" s="48" t="s">
        <v>34</v>
      </c>
      <c r="C25" s="48">
        <f>SUM(C23:C24)</f>
        <v>15100</v>
      </c>
      <c r="D25" s="48">
        <f>SUM(D23:D24)</f>
        <v>10900</v>
      </c>
      <c r="E25" s="48">
        <f>SUM(E23:E24)</f>
        <v>11228</v>
      </c>
      <c r="F25" s="48">
        <f>SUM(F23:F24)</f>
        <v>13792</v>
      </c>
      <c r="G25" s="116">
        <f>SUM(G23:G24)</f>
        <v>51020</v>
      </c>
      <c r="I25" s="48">
        <f>SUM(I23:I24)</f>
        <v>15100</v>
      </c>
      <c r="J25" s="48">
        <f>SUM(J23:J24)</f>
        <v>10900</v>
      </c>
      <c r="K25" s="48">
        <f>SUM(K23:K24)</f>
        <v>11228</v>
      </c>
      <c r="L25" s="48">
        <f>SUM(L23:L24)</f>
        <v>13792</v>
      </c>
      <c r="M25" s="116">
        <f>SUM(M23:M24)</f>
        <v>51020</v>
      </c>
      <c r="O25" s="48">
        <f>SUM(O23:O24)</f>
        <v>11650</v>
      </c>
      <c r="P25" s="48">
        <f>SUM(P23:P24)</f>
        <v>7950</v>
      </c>
      <c r="Q25" s="48">
        <f>SUM(Q23:Q24)</f>
        <v>8189</v>
      </c>
      <c r="R25" s="48">
        <f>SUM(R23:R24)</f>
        <v>8593</v>
      </c>
      <c r="S25" s="116">
        <f>SUM(S23:S24)</f>
        <v>36382</v>
      </c>
    </row>
    <row r="26" spans="1:19" ht="16.5" thickTop="1" x14ac:dyDescent="0.25">
      <c r="A26" s="38"/>
      <c r="C26" s="38"/>
      <c r="D26" s="38"/>
      <c r="E26" s="38"/>
      <c r="F26" s="38"/>
      <c r="G26" s="115"/>
      <c r="I26" s="38"/>
      <c r="J26" s="38"/>
      <c r="K26" s="38"/>
      <c r="L26" s="38"/>
      <c r="M26" s="115"/>
      <c r="O26" s="38"/>
      <c r="P26" s="38"/>
      <c r="Q26" s="38"/>
      <c r="R26" s="38"/>
      <c r="S26" s="115"/>
    </row>
    <row r="27" spans="1:19" x14ac:dyDescent="0.25">
      <c r="A27" s="38" t="s">
        <v>35</v>
      </c>
      <c r="C27" s="38"/>
      <c r="D27" s="38"/>
      <c r="E27" s="38"/>
      <c r="F27" s="38"/>
      <c r="G27" s="115"/>
      <c r="I27" s="38"/>
      <c r="J27" s="38"/>
      <c r="K27" s="38"/>
      <c r="L27" s="38"/>
      <c r="M27" s="115"/>
      <c r="O27" s="38"/>
      <c r="P27" s="38"/>
      <c r="Q27" s="38"/>
      <c r="R27" s="38"/>
      <c r="S27" s="115"/>
    </row>
    <row r="28" spans="1:19" ht="16.5" thickBot="1" x14ac:dyDescent="0.3">
      <c r="A28" s="48" t="s">
        <v>36</v>
      </c>
      <c r="C28" s="48">
        <f>'Budg surv dur - 1 éq + ATCD'!G83</f>
        <v>0</v>
      </c>
      <c r="D28" s="48">
        <f>'Budg surv dur - 1 éq + ATCD'!J83</f>
        <v>0</v>
      </c>
      <c r="E28" s="48">
        <f>'Budg surv dur - 1 éq + ATCD'!M83</f>
        <v>0</v>
      </c>
      <c r="F28" s="48">
        <f>'Budg surv dur - 1 éq + ATCD'!P83</f>
        <v>0</v>
      </c>
      <c r="G28" s="116">
        <f>SUM(C28:F28)</f>
        <v>0</v>
      </c>
      <c r="I28" s="48">
        <f>'Budg surv dur - 2 éq + ATCD'!G83</f>
        <v>0</v>
      </c>
      <c r="J28" s="48">
        <f>'Budg surv dur - 2 éq + ATCD'!J83</f>
        <v>0</v>
      </c>
      <c r="K28" s="48">
        <f>'Budg surv dur - 2 éq + ATCD'!M83</f>
        <v>0</v>
      </c>
      <c r="L28" s="48">
        <f>'Budg surv dur - 2 éq + ATCD'!P83</f>
        <v>0</v>
      </c>
      <c r="M28" s="116">
        <f>SUM(I28:L28)</f>
        <v>0</v>
      </c>
      <c r="O28" s="48">
        <f>'Budg surv dur - 2 éq sans ATCD'!G88</f>
        <v>0</v>
      </c>
      <c r="P28" s="48">
        <f>'Budg surv dur - 2 éq sans ATCD'!J88</f>
        <v>0</v>
      </c>
      <c r="Q28" s="48">
        <f>'Budg surv dur - 2 éq sans ATCD'!M88</f>
        <v>0</v>
      </c>
      <c r="R28" s="48">
        <f>'Budg surv dur - 2 éq sans ATCD'!P88</f>
        <v>0</v>
      </c>
      <c r="S28" s="116">
        <f>SUM(O28:R28)</f>
        <v>0</v>
      </c>
    </row>
    <row r="29" spans="1:19" ht="16.5" thickTop="1" x14ac:dyDescent="0.25">
      <c r="A29" s="74"/>
      <c r="C29" s="74"/>
      <c r="D29" s="74"/>
      <c r="E29" s="74"/>
      <c r="F29" s="74"/>
      <c r="G29" s="112"/>
      <c r="I29" s="74"/>
      <c r="J29" s="74"/>
      <c r="K29" s="74"/>
      <c r="L29" s="74"/>
      <c r="M29" s="112"/>
      <c r="O29" s="74"/>
      <c r="P29" s="74"/>
      <c r="Q29" s="74"/>
      <c r="R29" s="74"/>
      <c r="S29" s="112"/>
    </row>
    <row r="30" spans="1:19" x14ac:dyDescent="0.25">
      <c r="A30" s="38" t="s">
        <v>37</v>
      </c>
      <c r="C30" s="38"/>
      <c r="D30" s="38"/>
      <c r="E30" s="38"/>
      <c r="F30" s="38"/>
      <c r="G30" s="115"/>
      <c r="I30" s="38"/>
      <c r="J30" s="38"/>
      <c r="K30" s="38"/>
      <c r="L30" s="38"/>
      <c r="M30" s="115"/>
      <c r="O30" s="38"/>
      <c r="P30" s="38"/>
      <c r="Q30" s="38"/>
      <c r="R30" s="38"/>
      <c r="S30" s="115"/>
    </row>
    <row r="31" spans="1:19" ht="16.5" thickBot="1" x14ac:dyDescent="0.3">
      <c r="A31" s="48" t="s">
        <v>38</v>
      </c>
      <c r="C31" s="48">
        <f>'Budg surv dur - 1 éq + ATCD'!G89</f>
        <v>800</v>
      </c>
      <c r="D31" s="48">
        <f>'Budg surv dur - 1 éq + ATCD'!J89</f>
        <v>0</v>
      </c>
      <c r="E31" s="48">
        <f>'Budg surv dur - 1 éq + ATCD'!M89</f>
        <v>0</v>
      </c>
      <c r="F31" s="48">
        <f>'Budg surv dur - 1 éq + ATCD'!P89</f>
        <v>0</v>
      </c>
      <c r="G31" s="116">
        <f>SUM(C31:F31)</f>
        <v>800</v>
      </c>
      <c r="I31" s="48">
        <f>'Budg surv dur - 2 éq + ATCD'!G89</f>
        <v>1600</v>
      </c>
      <c r="J31" s="48">
        <f>'Budg surv dur - 2 éq + ATCD'!J89</f>
        <v>0</v>
      </c>
      <c r="K31" s="48">
        <f>'Budg surv dur - 2 éq + ATCD'!M89</f>
        <v>0</v>
      </c>
      <c r="L31" s="48">
        <f>'Budg surv dur - 2 éq + ATCD'!P89</f>
        <v>0</v>
      </c>
      <c r="M31" s="116">
        <f>SUM(I31:L31)</f>
        <v>1600</v>
      </c>
      <c r="O31" s="48">
        <f>'Budg surv dur - 2 éq sans ATCD'!G94</f>
        <v>1600</v>
      </c>
      <c r="P31" s="48">
        <f>'Budg surv dur - 2 éq sans ATCD'!J94</f>
        <v>0</v>
      </c>
      <c r="Q31" s="48">
        <f>'Budg surv dur - 2 éq sans ATCD'!M94</f>
        <v>0</v>
      </c>
      <c r="R31" s="48">
        <f>'Budg surv dur - 2 éq sans ATCD'!P94</f>
        <v>0</v>
      </c>
      <c r="S31" s="116">
        <f>SUM(O31:R31)</f>
        <v>1600</v>
      </c>
    </row>
    <row r="32" spans="1:19" ht="16.5" thickTop="1" x14ac:dyDescent="0.25">
      <c r="A32" s="38"/>
      <c r="C32" s="38"/>
      <c r="D32" s="38"/>
      <c r="E32" s="38"/>
      <c r="F32" s="38"/>
      <c r="G32" s="115"/>
      <c r="I32" s="38"/>
      <c r="J32" s="38"/>
      <c r="K32" s="38"/>
      <c r="L32" s="38"/>
      <c r="M32" s="115"/>
      <c r="O32" s="38"/>
      <c r="P32" s="38"/>
      <c r="Q32" s="38"/>
      <c r="R32" s="38"/>
      <c r="S32" s="115"/>
    </row>
    <row r="33" spans="1:19" x14ac:dyDescent="0.25">
      <c r="A33" s="38" t="s">
        <v>39</v>
      </c>
      <c r="C33" s="38"/>
      <c r="D33" s="38"/>
      <c r="E33" s="38"/>
      <c r="F33" s="38"/>
      <c r="G33" s="115"/>
      <c r="I33" s="38"/>
      <c r="J33" s="38"/>
      <c r="K33" s="38"/>
      <c r="L33" s="38"/>
      <c r="M33" s="115"/>
      <c r="O33" s="38"/>
      <c r="P33" s="38"/>
      <c r="Q33" s="38"/>
      <c r="R33" s="38"/>
      <c r="S33" s="115"/>
    </row>
    <row r="34" spans="1:19" x14ac:dyDescent="0.25">
      <c r="A34" s="38" t="s">
        <v>40</v>
      </c>
      <c r="C34" s="38">
        <f>'Budg surv dur - 1 éq + ATCD'!G99</f>
        <v>9900</v>
      </c>
      <c r="D34" s="38">
        <f>'Budg surv dur - 1 éq + ATCD'!J99</f>
        <v>5500</v>
      </c>
      <c r="E34" s="38">
        <f>'Budg surv dur - 1 éq + ATCD'!M99</f>
        <v>5666</v>
      </c>
      <c r="F34" s="38">
        <f>'Budg surv dur - 1 éq + ATCD'!P99</f>
        <v>5834</v>
      </c>
      <c r="G34" s="115">
        <f>SUM(C34:F34)</f>
        <v>26900</v>
      </c>
      <c r="I34" s="38">
        <f>'Budg surv dur - 2 éq + ATCD'!G99</f>
        <v>9900</v>
      </c>
      <c r="J34" s="38">
        <f>'Budg surv dur - 2 éq + ATCD'!J99</f>
        <v>5500</v>
      </c>
      <c r="K34" s="38">
        <f>'Budg surv dur - 2 éq + ATCD'!M99</f>
        <v>5666</v>
      </c>
      <c r="L34" s="38">
        <f>'Budg surv dur - 2 éq + ATCD'!P99</f>
        <v>5834</v>
      </c>
      <c r="M34" s="115">
        <f>SUM(I34:L34)</f>
        <v>26900</v>
      </c>
      <c r="O34" s="38">
        <f>'Budg surv dur - 2 éq sans ATCD'!G104</f>
        <v>4950</v>
      </c>
      <c r="P34" s="38">
        <f>'Budg surv dur - 2 éq sans ATCD'!J104</f>
        <v>1100</v>
      </c>
      <c r="Q34" s="38">
        <f>'Budg surv dur - 2 éq sans ATCD'!M104</f>
        <v>1134</v>
      </c>
      <c r="R34" s="38">
        <f>'Budg surv dur - 2 éq sans ATCD'!P104</f>
        <v>0</v>
      </c>
      <c r="S34" s="115">
        <f>SUM(O34:R34)</f>
        <v>7184</v>
      </c>
    </row>
    <row r="35" spans="1:19" x14ac:dyDescent="0.25">
      <c r="A35" s="160" t="s">
        <v>41</v>
      </c>
      <c r="C35" s="182">
        <f>'Budg surv dur - 1 éq + ATCD'!G109</f>
        <v>7050</v>
      </c>
      <c r="D35" s="182">
        <f>'Budg surv dur - 1 éq + ATCD'!J109</f>
        <v>5250</v>
      </c>
      <c r="E35" s="182">
        <f>'Budg surv dur - 1 éq + ATCD'!M109</f>
        <v>5408</v>
      </c>
      <c r="F35" s="182">
        <f>'Budg surv dur - 1 éq + ATCD'!P109</f>
        <v>7480</v>
      </c>
      <c r="G35" s="115">
        <f>SUM(C35:F35)</f>
        <v>25188</v>
      </c>
      <c r="I35" s="182">
        <f>'Budg surv dur - 2 éq + ATCD'!G109</f>
        <v>7050</v>
      </c>
      <c r="J35" s="182">
        <f>'Budg surv dur - 2 éq + ATCD'!J109</f>
        <v>5250</v>
      </c>
      <c r="K35" s="182">
        <f>'Budg surv dur - 2 éq + ATCD'!M109</f>
        <v>5408</v>
      </c>
      <c r="L35" s="182">
        <f>'Budg surv dur - 2 éq + ATCD'!P109</f>
        <v>7480</v>
      </c>
      <c r="M35" s="115">
        <f>SUM(I35:L35)</f>
        <v>25188</v>
      </c>
      <c r="O35" s="182">
        <f>'Budg surv dur - 2 éq sans ATCD'!G114</f>
        <v>13000</v>
      </c>
      <c r="P35" s="182">
        <f>'Budg surv dur - 2 éq sans ATCD'!J114</f>
        <v>11200</v>
      </c>
      <c r="Q35" s="182">
        <f>'Budg surv dur - 2 éq sans ATCD'!M114</f>
        <v>11536</v>
      </c>
      <c r="R35" s="182">
        <f>'Budg surv dur - 2 éq sans ATCD'!P114</f>
        <v>13792</v>
      </c>
      <c r="S35" s="115">
        <f>SUM(O35:R35)</f>
        <v>49528</v>
      </c>
    </row>
    <row r="36" spans="1:19" ht="16.5" thickBot="1" x14ac:dyDescent="0.3">
      <c r="A36" s="48" t="s">
        <v>42</v>
      </c>
      <c r="C36" s="48">
        <f>SUM(C34:C35)</f>
        <v>16950</v>
      </c>
      <c r="D36" s="48">
        <f>SUM(D34:D35)</f>
        <v>10750</v>
      </c>
      <c r="E36" s="48">
        <f>SUM(E34:E35)</f>
        <v>11074</v>
      </c>
      <c r="F36" s="48">
        <f>SUM(F34:F35)</f>
        <v>13314</v>
      </c>
      <c r="G36" s="116">
        <f>SUM(G34:G35)</f>
        <v>52088</v>
      </c>
      <c r="I36" s="48">
        <f>SUM(I34:I35)</f>
        <v>16950</v>
      </c>
      <c r="J36" s="48">
        <f>SUM(J34:J35)</f>
        <v>10750</v>
      </c>
      <c r="K36" s="48">
        <f>SUM(K34:K35)</f>
        <v>11074</v>
      </c>
      <c r="L36" s="48">
        <f>SUM(L34:L35)</f>
        <v>13314</v>
      </c>
      <c r="M36" s="116">
        <f>SUM(M34:M35)</f>
        <v>52088</v>
      </c>
      <c r="O36" s="48">
        <f>SUM(O34:O35)</f>
        <v>17950</v>
      </c>
      <c r="P36" s="48">
        <f>SUM(P34:P35)</f>
        <v>12300</v>
      </c>
      <c r="Q36" s="48">
        <f>SUM(Q34:Q35)</f>
        <v>12670</v>
      </c>
      <c r="R36" s="48">
        <f>SUM(R34:R35)</f>
        <v>13792</v>
      </c>
      <c r="S36" s="116">
        <f>SUM(S34:S35)</f>
        <v>56712</v>
      </c>
    </row>
    <row r="37" spans="1:19" ht="16.5" thickTop="1" x14ac:dyDescent="0.25">
      <c r="A37" s="38"/>
      <c r="C37" s="38"/>
      <c r="D37" s="38"/>
      <c r="E37" s="38"/>
      <c r="F37" s="38"/>
      <c r="G37" s="115"/>
      <c r="I37" s="38"/>
      <c r="J37" s="38"/>
      <c r="K37" s="38"/>
      <c r="L37" s="38"/>
      <c r="M37" s="115"/>
      <c r="O37" s="38"/>
      <c r="P37" s="38"/>
      <c r="Q37" s="38"/>
      <c r="R37" s="38"/>
      <c r="S37" s="115"/>
    </row>
    <row r="38" spans="1:19" x14ac:dyDescent="0.25">
      <c r="A38" s="38" t="s">
        <v>43</v>
      </c>
      <c r="C38" s="38"/>
      <c r="D38" s="38"/>
      <c r="E38" s="38"/>
      <c r="F38" s="38"/>
      <c r="G38" s="115"/>
      <c r="I38" s="38"/>
      <c r="J38" s="38"/>
      <c r="K38" s="38"/>
      <c r="L38" s="38"/>
      <c r="M38" s="115"/>
      <c r="O38" s="38"/>
      <c r="P38" s="38"/>
      <c r="Q38" s="38"/>
      <c r="R38" s="38"/>
      <c r="S38" s="115"/>
    </row>
    <row r="39" spans="1:19" x14ac:dyDescent="0.25">
      <c r="A39" s="38"/>
      <c r="C39" s="38"/>
      <c r="D39" s="38"/>
      <c r="E39" s="38"/>
      <c r="F39" s="38"/>
      <c r="G39" s="115"/>
      <c r="I39" s="38"/>
      <c r="J39" s="38"/>
      <c r="K39" s="38"/>
      <c r="L39" s="38"/>
      <c r="M39" s="115"/>
      <c r="O39" s="38"/>
      <c r="P39" s="38"/>
      <c r="Q39" s="38"/>
      <c r="R39" s="38"/>
      <c r="S39" s="115"/>
    </row>
    <row r="40" spans="1:19" x14ac:dyDescent="0.25">
      <c r="A40" s="38" t="s">
        <v>44</v>
      </c>
      <c r="C40" s="38"/>
      <c r="D40" s="38"/>
      <c r="E40" s="38"/>
      <c r="F40" s="38"/>
      <c r="G40" s="115"/>
      <c r="I40" s="38"/>
      <c r="J40" s="38"/>
      <c r="K40" s="38"/>
      <c r="L40" s="38"/>
      <c r="M40" s="115"/>
      <c r="O40" s="38"/>
      <c r="P40" s="38"/>
      <c r="Q40" s="38"/>
      <c r="R40" s="38"/>
      <c r="S40" s="115"/>
    </row>
    <row r="41" spans="1:19" ht="16.5" thickBot="1" x14ac:dyDescent="0.3">
      <c r="A41" s="48" t="s">
        <v>45</v>
      </c>
      <c r="C41" s="48">
        <f>'Budg surv dur - 1 éq + ATCD'!G153</f>
        <v>55850</v>
      </c>
      <c r="D41" s="48">
        <f>'Budg surv dur - 1 éq + ATCD'!J153</f>
        <v>55350</v>
      </c>
      <c r="E41" s="48">
        <f>'Budg surv dur - 1 éq + ATCD'!M153</f>
        <v>57012</v>
      </c>
      <c r="F41" s="48">
        <f>'Budg surv dur - 1 éq + ATCD'!P153</f>
        <v>71451</v>
      </c>
      <c r="G41" s="116">
        <f>SUM(C41:F41)</f>
        <v>239663</v>
      </c>
      <c r="I41" s="48">
        <f>'Budg surv dur - 2 éq + ATCD'!G153</f>
        <v>62900</v>
      </c>
      <c r="J41" s="48">
        <f>'Budg surv dur - 2 éq + ATCD'!J153</f>
        <v>62400</v>
      </c>
      <c r="K41" s="48">
        <f>'Budg surv dur - 2 éq + ATCD'!M153</f>
        <v>64274</v>
      </c>
      <c r="L41" s="48">
        <f>'Budg surv dur - 2 éq + ATCD'!P153</f>
        <v>78931</v>
      </c>
      <c r="M41" s="116">
        <f>SUM(I41:L41)</f>
        <v>268505</v>
      </c>
      <c r="O41" s="48">
        <f>'Budg surv dur - 2 éq sans ATCD'!G160</f>
        <v>62900</v>
      </c>
      <c r="P41" s="48">
        <f>'Budg surv dur - 2 éq sans ATCD'!J160</f>
        <v>62400</v>
      </c>
      <c r="Q41" s="48">
        <f>'Budg surv dur - 2 éq sans ATCD'!M160</f>
        <v>64274</v>
      </c>
      <c r="R41" s="48">
        <f>'Budg surv dur - 2 éq sans ATCD'!P160</f>
        <v>78931</v>
      </c>
      <c r="S41" s="116">
        <f>SUM(O41:R41)</f>
        <v>268505</v>
      </c>
    </row>
    <row r="42" spans="1:19" ht="16.5" thickTop="1" x14ac:dyDescent="0.25">
      <c r="A42" s="38"/>
      <c r="C42" s="38"/>
      <c r="D42" s="38"/>
      <c r="E42" s="38"/>
      <c r="F42" s="38"/>
      <c r="G42" s="115"/>
      <c r="I42" s="38"/>
      <c r="J42" s="38"/>
      <c r="K42" s="38"/>
      <c r="L42" s="38"/>
      <c r="M42" s="115"/>
      <c r="O42" s="38"/>
      <c r="P42" s="38"/>
      <c r="Q42" s="38"/>
      <c r="R42" s="38"/>
      <c r="S42" s="115"/>
    </row>
    <row r="43" spans="1:19" x14ac:dyDescent="0.25">
      <c r="A43" s="38" t="s">
        <v>46</v>
      </c>
      <c r="C43" s="38">
        <f>SUM(C36:C41,C31,C28,C25,C20,C17)</f>
        <v>128155</v>
      </c>
      <c r="D43" s="38">
        <f>SUM(D36:D41,D31,D28,D25,D20,D17)</f>
        <v>100275</v>
      </c>
      <c r="E43" s="38">
        <f>SUM(E36:E41,E31,E28,E25,E20,E17)</f>
        <v>103288</v>
      </c>
      <c r="F43" s="38">
        <f>SUM(F36:F41,F31,F28,F25,F20,F17)</f>
        <v>134230</v>
      </c>
      <c r="G43" s="115">
        <f>SUM(C43:F43)</f>
        <v>465948</v>
      </c>
      <c r="I43" s="38">
        <f>SUM(I36:I41,I31,I28,I25,I20,I17)</f>
        <v>136005</v>
      </c>
      <c r="J43" s="38">
        <f>SUM(J36:J41,J31,J28,J25,J20,J17)</f>
        <v>107325</v>
      </c>
      <c r="K43" s="38">
        <f>SUM(K36:K41,K31,K28,K25,K20,K17)</f>
        <v>110550</v>
      </c>
      <c r="L43" s="38">
        <f>SUM(L36:L41,L31,L28,L25,L20,L17)</f>
        <v>141710</v>
      </c>
      <c r="M43" s="115">
        <f>SUM(I43:L43)</f>
        <v>495590</v>
      </c>
      <c r="O43" s="38">
        <f>SUM(O36:O41,O31,O28,O25,O20,O17)</f>
        <v>112510</v>
      </c>
      <c r="P43" s="38">
        <f>SUM(P36:P41,P31,P28,P25,P20,P17)</f>
        <v>93160</v>
      </c>
      <c r="Q43" s="38">
        <f>SUM(Q36:Q41,Q31,Q28,Q25,Q20,Q17)</f>
        <v>95959</v>
      </c>
      <c r="R43" s="38">
        <f>SUM(R36:R41,R31,R28,R25,R20,R17)</f>
        <v>112467</v>
      </c>
      <c r="S43" s="115">
        <f>SUM(O43:R43)</f>
        <v>414096</v>
      </c>
    </row>
    <row r="44" spans="1:19" ht="16.5" thickBot="1" x14ac:dyDescent="0.3">
      <c r="A44" s="48"/>
      <c r="C44" s="48"/>
      <c r="D44" s="48"/>
      <c r="E44" s="48"/>
      <c r="F44" s="48"/>
      <c r="G44" s="116"/>
      <c r="I44" s="48"/>
      <c r="J44" s="48"/>
      <c r="K44" s="48"/>
      <c r="L44" s="48"/>
      <c r="M44" s="116"/>
      <c r="O44" s="48"/>
      <c r="P44" s="48"/>
      <c r="Q44" s="48"/>
      <c r="R44" s="48"/>
      <c r="S44" s="116"/>
    </row>
    <row r="45" spans="1:19" ht="16.5" thickTop="1" x14ac:dyDescent="0.25">
      <c r="A45" s="74"/>
      <c r="C45" s="74"/>
      <c r="D45" s="74"/>
      <c r="E45" s="74"/>
      <c r="F45" s="74"/>
      <c r="G45" s="112"/>
      <c r="I45" s="74"/>
      <c r="J45" s="74"/>
      <c r="K45" s="74"/>
      <c r="L45" s="74"/>
      <c r="M45" s="112"/>
      <c r="O45" s="74"/>
      <c r="P45" s="74"/>
      <c r="Q45" s="74"/>
      <c r="R45" s="74"/>
      <c r="S45" s="112"/>
    </row>
    <row r="46" spans="1:19" x14ac:dyDescent="0.25">
      <c r="A46" s="38" t="s">
        <v>47</v>
      </c>
      <c r="C46" s="38">
        <f>'Budg surv dur - 1 éq + ATCD'!G160</f>
        <v>32038.75</v>
      </c>
      <c r="D46" s="38">
        <f>'Budg surv dur - 1 éq + ATCD'!J160</f>
        <v>25068.75</v>
      </c>
      <c r="E46" s="38">
        <f>'Budg surv dur - 1 éq + ATCD'!M160</f>
        <v>25822</v>
      </c>
      <c r="F46" s="38">
        <f>'Budg surv dur - 1 éq + ATCD'!P160</f>
        <v>33557.5</v>
      </c>
      <c r="G46" s="115">
        <f>SUM(C46:F46)</f>
        <v>116487</v>
      </c>
      <c r="I46" s="38">
        <f>'Budg surv dur - 2 éq + ATCD'!G160</f>
        <v>34001.25</v>
      </c>
      <c r="J46" s="38">
        <f>'Budg surv dur - 2 éq + ATCD'!J160</f>
        <v>26831.25</v>
      </c>
      <c r="K46" s="38">
        <f>'Budg surv dur - 2 éq + ATCD'!M160</f>
        <v>27637.5</v>
      </c>
      <c r="L46" s="38">
        <f>'Budg surv dur - 2 éq + ATCD'!P160</f>
        <v>35427.5</v>
      </c>
      <c r="M46" s="115">
        <f>SUM(I46:L46)</f>
        <v>123897.5</v>
      </c>
      <c r="O46" s="38">
        <f>'Budg surv dur - 2 éq sans ATCD'!G165</f>
        <v>28127.5</v>
      </c>
      <c r="P46" s="38">
        <f>'Budg surv dur - 2 éq sans ATCD'!J165</f>
        <v>23290</v>
      </c>
      <c r="Q46" s="38">
        <f>'Budg surv dur - 2 éq sans ATCD'!M165</f>
        <v>23989.75</v>
      </c>
      <c r="R46" s="38">
        <f>'Budg surv dur - 2 éq sans ATCD'!P165</f>
        <v>28116.75</v>
      </c>
      <c r="S46" s="115">
        <f>SUM(O46:R46)</f>
        <v>103524</v>
      </c>
    </row>
    <row r="47" spans="1:19" ht="16.5" thickBot="1" x14ac:dyDescent="0.3">
      <c r="A47" s="48"/>
      <c r="C47" s="48"/>
      <c r="D47" s="48"/>
      <c r="E47" s="48"/>
      <c r="F47" s="48"/>
      <c r="G47" s="116"/>
      <c r="I47" s="48"/>
      <c r="J47" s="48"/>
      <c r="K47" s="48"/>
      <c r="L47" s="48"/>
      <c r="M47" s="116"/>
      <c r="O47" s="48"/>
      <c r="P47" s="48"/>
      <c r="Q47" s="48"/>
      <c r="R47" s="48"/>
      <c r="S47" s="116"/>
    </row>
    <row r="48" spans="1:19" ht="16.5" thickTop="1" x14ac:dyDescent="0.25">
      <c r="A48" s="38"/>
      <c r="C48" s="38"/>
      <c r="D48" s="38"/>
      <c r="E48" s="38"/>
      <c r="F48" s="38"/>
      <c r="G48" s="115"/>
      <c r="I48" s="38"/>
      <c r="J48" s="38"/>
      <c r="K48" s="38"/>
      <c r="L48" s="38"/>
      <c r="M48" s="115"/>
      <c r="O48" s="38"/>
      <c r="P48" s="38"/>
      <c r="Q48" s="38"/>
      <c r="R48" s="38"/>
      <c r="S48" s="115"/>
    </row>
    <row r="49" spans="1:19" x14ac:dyDescent="0.25">
      <c r="A49" s="38" t="s">
        <v>48</v>
      </c>
      <c r="C49" s="38">
        <f>C43+C46</f>
        <v>160193.75</v>
      </c>
      <c r="D49" s="38">
        <f>D43+D46</f>
        <v>125343.75</v>
      </c>
      <c r="E49" s="38">
        <f>E43+E46</f>
        <v>129110</v>
      </c>
      <c r="F49" s="38">
        <f>F43+F46</f>
        <v>167787.5</v>
      </c>
      <c r="G49" s="185">
        <f>SUM(C49:F49)</f>
        <v>582435</v>
      </c>
      <c r="I49" s="38">
        <f>I43+I46</f>
        <v>170006.25</v>
      </c>
      <c r="J49" s="38">
        <f>J43+J46</f>
        <v>134156.25</v>
      </c>
      <c r="K49" s="38">
        <f>K43+K46</f>
        <v>138187.5</v>
      </c>
      <c r="L49" s="38">
        <f>L43+L46</f>
        <v>177137.5</v>
      </c>
      <c r="M49" s="185">
        <f>SUM(I49:L49)</f>
        <v>619487.5</v>
      </c>
      <c r="O49" s="38">
        <f>O43+O46</f>
        <v>140637.5</v>
      </c>
      <c r="P49" s="38">
        <f>P43+P46</f>
        <v>116450</v>
      </c>
      <c r="Q49" s="38">
        <f>Q43+Q46</f>
        <v>119948.75</v>
      </c>
      <c r="R49" s="38">
        <f>R43+R46</f>
        <v>140583.75</v>
      </c>
      <c r="S49" s="185">
        <f>SUM(O49:R49)</f>
        <v>517620</v>
      </c>
    </row>
    <row r="50" spans="1:19" ht="16.5" thickBot="1" x14ac:dyDescent="0.3">
      <c r="A50" s="169" t="s">
        <v>49</v>
      </c>
      <c r="C50" s="169"/>
      <c r="D50" s="169"/>
      <c r="E50" s="169"/>
      <c r="F50" s="169"/>
      <c r="G50" s="113"/>
      <c r="I50" s="169"/>
      <c r="J50" s="169"/>
      <c r="K50" s="169"/>
      <c r="L50" s="169"/>
      <c r="M50" s="113"/>
      <c r="O50" s="169"/>
      <c r="P50" s="169"/>
      <c r="Q50" s="169"/>
      <c r="R50" s="169"/>
      <c r="S50" s="113"/>
    </row>
    <row r="51" spans="1:19" ht="16.5" thickTop="1" x14ac:dyDescent="0.25">
      <c r="A51" s="1"/>
      <c r="C51" s="1"/>
      <c r="D51" s="1"/>
      <c r="E51" s="1"/>
      <c r="F51" s="1"/>
      <c r="G51" s="1"/>
      <c r="I51" s="1"/>
      <c r="J51" s="1"/>
      <c r="K51" s="1"/>
      <c r="L51" s="1"/>
      <c r="M51" s="1"/>
      <c r="O51" s="1"/>
      <c r="P51" s="1"/>
      <c r="Q51" s="1"/>
      <c r="R51" s="1"/>
      <c r="S51" s="1"/>
    </row>
    <row r="52" spans="1:19" x14ac:dyDescent="0.25">
      <c r="A52" s="1"/>
      <c r="C52" s="1">
        <f>C49-'Budg surv dur - 1 éq + ATCD'!G163</f>
        <v>0</v>
      </c>
      <c r="D52" s="1">
        <f>D49-'Budg surv dur - 1 éq + ATCD'!J163</f>
        <v>0</v>
      </c>
      <c r="E52" s="1">
        <f>E49-'Budg surv dur - 1 éq + ATCD'!M163</f>
        <v>0</v>
      </c>
      <c r="F52" s="1">
        <f>'Budg surv dur - 1 éq + ATCD'!P163-Résumé!F49</f>
        <v>0</v>
      </c>
      <c r="G52" s="1">
        <f>G49-'Budg surv dur - 1 éq + ATCD'!R163</f>
        <v>0</v>
      </c>
      <c r="I52" s="1">
        <f>I49-'Budg surv dur - 2 éq + ATCD'!G163</f>
        <v>0</v>
      </c>
      <c r="J52" s="1">
        <f>J49-'Budg surv dur - 2 éq + ATCD'!J163</f>
        <v>0</v>
      </c>
      <c r="K52" s="1">
        <f>K49-'Budg surv dur - 2 éq + ATCD'!M163</f>
        <v>0</v>
      </c>
      <c r="L52" s="1">
        <f>L49-'Budg surv dur - 2 éq + ATCD'!P163</f>
        <v>0</v>
      </c>
      <c r="M52" s="1">
        <f>M49-'Budg surv dur - 2 éq + ATCD'!R163</f>
        <v>0</v>
      </c>
      <c r="O52" s="1">
        <f>O49-'Budg surv dur - 2 éq sans ATCD'!G168</f>
        <v>0</v>
      </c>
      <c r="P52" s="1">
        <f>P49-'Budg surv dur - 2 éq sans ATCD'!J168</f>
        <v>0</v>
      </c>
      <c r="Q52" s="1">
        <f>Q49-'Budg surv dur - 2 éq sans ATCD'!M168</f>
        <v>0</v>
      </c>
      <c r="R52" s="1">
        <f>R49-'Budg surv dur - 2 éq sans ATCD'!P168</f>
        <v>0</v>
      </c>
      <c r="S52" s="1">
        <f>S49-'Budg surv dur - 2 éq sans ATCD'!R168</f>
        <v>0</v>
      </c>
    </row>
  </sheetData>
  <mergeCells count="4">
    <mergeCell ref="C7:G8"/>
    <mergeCell ref="I7:M8"/>
    <mergeCell ref="O7:S8"/>
    <mergeCell ref="A7:A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168"/>
  <sheetViews>
    <sheetView zoomScale="55" zoomScaleNormal="55" workbookViewId="0">
      <pane xSplit="4" ySplit="15" topLeftCell="E119" activePane="bottomRight" state="frozen"/>
      <selection pane="topRight" activeCell="E1" sqref="E1"/>
      <selection pane="bottomLeft" activeCell="A16" sqref="A16"/>
      <selection pane="bottomRight" activeCell="F1" sqref="F1:F1048576"/>
    </sheetView>
  </sheetViews>
  <sheetFormatPr defaultColWidth="11.28515625" defaultRowHeight="15.75" x14ac:dyDescent="0.25"/>
  <cols>
    <col min="1" max="1" width="60.7109375" style="5" customWidth="1"/>
    <col min="2" max="2" width="10.42578125" style="5" customWidth="1"/>
    <col min="3" max="3" width="103.28515625" style="5" customWidth="1"/>
    <col min="4" max="4" width="21.42578125" style="5" customWidth="1"/>
    <col min="5" max="5" width="10.28515625" style="63" customWidth="1"/>
    <col min="6" max="6" width="21.140625" style="5" customWidth="1"/>
    <col min="7" max="7" width="16.28515625" style="5" customWidth="1"/>
    <col min="8" max="8" width="8.85546875" style="63" customWidth="1"/>
    <col min="9" max="9" width="21.140625" style="5" customWidth="1"/>
    <col min="10" max="10" width="16.28515625" style="5" customWidth="1"/>
    <col min="11" max="11" width="8.85546875" style="63" customWidth="1"/>
    <col min="12" max="12" width="21.140625" style="5" customWidth="1"/>
    <col min="13" max="13" width="16.28515625" style="5" customWidth="1"/>
    <col min="14" max="14" width="8.85546875" style="63" customWidth="1"/>
    <col min="15" max="15" width="21.140625" style="5" customWidth="1"/>
    <col min="16" max="16" width="16.28515625" style="5" customWidth="1"/>
    <col min="17" max="17" width="12.85546875" style="20" customWidth="1"/>
    <col min="18" max="18" width="19.85546875" style="20" customWidth="1"/>
    <col min="19" max="19" width="11.28515625" style="4"/>
    <col min="20" max="16384" width="11.28515625" style="5"/>
  </cols>
  <sheetData>
    <row r="1" spans="1:19" x14ac:dyDescent="0.25">
      <c r="A1" s="82" t="s">
        <v>50</v>
      </c>
      <c r="B1" s="1"/>
      <c r="C1" s="1"/>
      <c r="D1" s="1"/>
      <c r="E1" s="50"/>
      <c r="F1" s="1"/>
      <c r="G1" s="1"/>
      <c r="H1" s="50"/>
      <c r="I1" s="1"/>
      <c r="J1" s="1"/>
      <c r="K1" s="50"/>
      <c r="L1" s="1"/>
      <c r="M1" s="1"/>
      <c r="N1" s="50"/>
      <c r="O1" s="1"/>
      <c r="P1" s="1"/>
      <c r="Q1" s="3"/>
      <c r="R1" s="3"/>
    </row>
    <row r="2" spans="1:19" ht="15" customHeight="1" x14ac:dyDescent="0.25">
      <c r="A2" s="82"/>
      <c r="B2" s="1"/>
      <c r="C2" s="1"/>
      <c r="D2" s="1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  <c r="Q2" s="3"/>
      <c r="R2" s="3"/>
    </row>
    <row r="3" spans="1:19" ht="15" customHeight="1" x14ac:dyDescent="0.25">
      <c r="A3" s="81" t="s">
        <v>51</v>
      </c>
      <c r="B3" s="1"/>
      <c r="C3" s="1"/>
      <c r="D3" s="1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3"/>
      <c r="R3" s="6">
        <f ca="1">NOW()</f>
        <v>42445.612712499998</v>
      </c>
    </row>
    <row r="4" spans="1:19" ht="15" customHeight="1" x14ac:dyDescent="0.25">
      <c r="A4" s="82" t="s">
        <v>52</v>
      </c>
      <c r="B4" s="1"/>
      <c r="C4" s="1"/>
      <c r="D4" s="1"/>
      <c r="E4" s="50"/>
      <c r="F4" s="50"/>
      <c r="G4" s="50"/>
      <c r="H4" s="50"/>
      <c r="I4" s="50"/>
      <c r="J4" s="50"/>
      <c r="K4" s="50"/>
      <c r="L4" s="50"/>
      <c r="M4" s="50"/>
      <c r="N4" s="50"/>
      <c r="O4" s="1"/>
      <c r="P4" s="1"/>
      <c r="Q4" s="3"/>
      <c r="R4" s="7"/>
    </row>
    <row r="5" spans="1:19" ht="15" customHeight="1" x14ac:dyDescent="0.25">
      <c r="A5" s="82" t="s">
        <v>53</v>
      </c>
      <c r="B5" s="1"/>
      <c r="C5" s="2"/>
      <c r="D5" s="2"/>
      <c r="E5" s="50"/>
      <c r="F5" s="50"/>
      <c r="G5" s="50"/>
      <c r="H5" s="50"/>
      <c r="I5" s="50"/>
      <c r="J5" s="50"/>
      <c r="K5" s="50"/>
      <c r="L5" s="50"/>
      <c r="M5" s="50"/>
      <c r="N5" s="50"/>
      <c r="O5" s="1"/>
      <c r="P5" s="1"/>
      <c r="Q5" s="3"/>
      <c r="R5" s="3"/>
    </row>
    <row r="6" spans="1:19" x14ac:dyDescent="0.25">
      <c r="A6" s="81" t="s">
        <v>54</v>
      </c>
      <c r="B6" s="82"/>
      <c r="C6" s="82"/>
      <c r="D6" s="1"/>
      <c r="E6" s="50"/>
      <c r="F6" s="1"/>
      <c r="G6" s="1"/>
      <c r="H6" s="50"/>
      <c r="I6" s="1"/>
      <c r="J6" s="1"/>
      <c r="K6" s="50"/>
      <c r="L6" s="1"/>
      <c r="M6" s="1"/>
      <c r="N6" s="50"/>
      <c r="O6" s="1"/>
      <c r="P6" s="1"/>
      <c r="Q6" s="3"/>
      <c r="R6" s="7"/>
    </row>
    <row r="7" spans="1:19" x14ac:dyDescent="0.25">
      <c r="A7" s="128" t="s">
        <v>55</v>
      </c>
      <c r="B7" s="129">
        <v>0.15</v>
      </c>
      <c r="C7" s="130" t="s">
        <v>56</v>
      </c>
      <c r="D7" s="1"/>
      <c r="E7" s="50"/>
      <c r="F7" s="1"/>
      <c r="G7" s="1"/>
      <c r="H7" s="50"/>
      <c r="I7" s="1"/>
      <c r="J7" s="1"/>
      <c r="K7" s="50"/>
      <c r="L7" s="1"/>
      <c r="M7" s="1"/>
      <c r="N7" s="50"/>
      <c r="O7" s="1"/>
      <c r="P7" s="1"/>
      <c r="Q7" s="3"/>
      <c r="R7" s="7"/>
    </row>
    <row r="8" spans="1:19" x14ac:dyDescent="0.25">
      <c r="A8" s="131" t="s">
        <v>57</v>
      </c>
      <c r="B8" s="132">
        <v>0.25</v>
      </c>
      <c r="C8" s="125" t="s">
        <v>58</v>
      </c>
      <c r="D8" s="1"/>
      <c r="E8" s="50"/>
      <c r="F8" s="1"/>
      <c r="G8" s="1"/>
      <c r="H8" s="50"/>
      <c r="I8" s="1"/>
      <c r="J8" s="1"/>
      <c r="K8" s="50"/>
      <c r="L8" s="1"/>
      <c r="M8" s="1"/>
      <c r="N8" s="50"/>
      <c r="O8" s="1"/>
      <c r="P8" s="1"/>
      <c r="Q8" s="3"/>
      <c r="R8" s="7"/>
    </row>
    <row r="9" spans="1:19" x14ac:dyDescent="0.25">
      <c r="A9" s="131" t="s">
        <v>59</v>
      </c>
      <c r="B9" s="132">
        <v>0.03</v>
      </c>
      <c r="C9" s="125" t="s">
        <v>60</v>
      </c>
      <c r="D9" s="1"/>
      <c r="E9" s="50"/>
      <c r="F9" s="1"/>
      <c r="G9" s="1"/>
      <c r="H9" s="50"/>
      <c r="I9" s="1"/>
      <c r="J9" s="1"/>
      <c r="K9" s="50"/>
      <c r="L9" s="1"/>
      <c r="M9" s="1"/>
      <c r="N9" s="50"/>
      <c r="O9" s="1"/>
      <c r="P9" s="1"/>
      <c r="Q9" s="3"/>
      <c r="R9" s="7"/>
    </row>
    <row r="10" spans="1:19" x14ac:dyDescent="0.25">
      <c r="A10" s="133" t="s">
        <v>61</v>
      </c>
      <c r="B10" s="134">
        <v>2</v>
      </c>
      <c r="C10" s="135" t="s">
        <v>62</v>
      </c>
      <c r="D10" s="1"/>
      <c r="E10" s="50"/>
      <c r="F10" s="1"/>
      <c r="G10" s="1"/>
      <c r="H10" s="50"/>
      <c r="I10" s="1"/>
      <c r="J10" s="1"/>
      <c r="K10" s="50"/>
      <c r="L10" s="1"/>
      <c r="M10" s="1"/>
      <c r="N10" s="50"/>
      <c r="O10" s="1"/>
      <c r="P10" s="1"/>
      <c r="Q10" s="3"/>
      <c r="R10" s="7"/>
    </row>
    <row r="11" spans="1:19" s="20" customFormat="1" ht="18.75" x14ac:dyDescent="0.25">
      <c r="A11" s="80"/>
      <c r="B11" s="141"/>
      <c r="C11" s="3"/>
      <c r="D11" s="3"/>
      <c r="E11" s="192" t="s">
        <v>63</v>
      </c>
      <c r="F11" s="193"/>
      <c r="G11" s="193"/>
      <c r="H11" s="193"/>
      <c r="I11" s="193"/>
      <c r="J11" s="194"/>
      <c r="K11" s="192" t="s">
        <v>64</v>
      </c>
      <c r="L11" s="193"/>
      <c r="M11" s="194"/>
      <c r="N11" s="192" t="s">
        <v>65</v>
      </c>
      <c r="O11" s="193"/>
      <c r="P11" s="194"/>
      <c r="Q11" s="3"/>
      <c r="R11" s="7"/>
      <c r="S11" s="142"/>
    </row>
    <row r="12" spans="1:19" x14ac:dyDescent="0.25">
      <c r="A12" s="166"/>
      <c r="B12" s="8"/>
      <c r="C12" s="8"/>
      <c r="D12" s="111" t="s">
        <v>66</v>
      </c>
      <c r="E12" s="143"/>
      <c r="F12" s="144"/>
      <c r="G12" s="130"/>
      <c r="H12" s="109"/>
      <c r="I12" s="8"/>
      <c r="J12" s="8"/>
      <c r="K12" s="143"/>
      <c r="L12" s="144"/>
      <c r="M12" s="130"/>
      <c r="N12" s="143"/>
      <c r="O12" s="144"/>
      <c r="P12" s="130"/>
      <c r="Q12" s="150"/>
      <c r="R12" s="9"/>
    </row>
    <row r="13" spans="1:19" x14ac:dyDescent="0.25">
      <c r="A13" s="167" t="s">
        <v>67</v>
      </c>
      <c r="B13" s="10"/>
      <c r="C13" s="10"/>
      <c r="D13" s="112" t="s">
        <v>68</v>
      </c>
      <c r="E13" s="90"/>
      <c r="F13" s="11" t="s">
        <v>69</v>
      </c>
      <c r="G13" s="125"/>
      <c r="H13" s="54"/>
      <c r="I13" s="11" t="s">
        <v>70</v>
      </c>
      <c r="J13" s="10"/>
      <c r="K13" s="90"/>
      <c r="L13" s="11" t="s">
        <v>71</v>
      </c>
      <c r="M13" s="125"/>
      <c r="N13" s="90"/>
      <c r="O13" s="11" t="s">
        <v>72</v>
      </c>
      <c r="P13" s="125"/>
      <c r="Q13" s="195" t="s">
        <v>73</v>
      </c>
      <c r="R13" s="196"/>
      <c r="S13" s="4" t="s">
        <v>74</v>
      </c>
    </row>
    <row r="14" spans="1:19" x14ac:dyDescent="0.25">
      <c r="A14" s="168"/>
      <c r="B14" s="12"/>
      <c r="C14" s="10"/>
      <c r="D14" s="112" t="s">
        <v>75</v>
      </c>
      <c r="E14" s="197" t="s">
        <v>76</v>
      </c>
      <c r="F14" s="198"/>
      <c r="G14" s="199"/>
      <c r="H14" s="198" t="s">
        <v>77</v>
      </c>
      <c r="I14" s="198"/>
      <c r="J14" s="198"/>
      <c r="K14" s="197" t="s">
        <v>78</v>
      </c>
      <c r="L14" s="198"/>
      <c r="M14" s="199"/>
      <c r="N14" s="197" t="s">
        <v>79</v>
      </c>
      <c r="O14" s="198"/>
      <c r="P14" s="199"/>
      <c r="Q14" s="195" t="s">
        <v>80</v>
      </c>
      <c r="R14" s="196"/>
    </row>
    <row r="15" spans="1:19" ht="16.5" thickBot="1" x14ac:dyDescent="0.3">
      <c r="A15" s="169" t="s">
        <v>81</v>
      </c>
      <c r="B15" s="13"/>
      <c r="C15" s="13"/>
      <c r="D15" s="113" t="s">
        <v>82</v>
      </c>
      <c r="E15" s="118" t="s">
        <v>83</v>
      </c>
      <c r="F15" s="14" t="s">
        <v>84</v>
      </c>
      <c r="G15" s="126" t="s">
        <v>85</v>
      </c>
      <c r="H15" s="110" t="s">
        <v>86</v>
      </c>
      <c r="I15" s="14" t="s">
        <v>87</v>
      </c>
      <c r="J15" s="14" t="s">
        <v>88</v>
      </c>
      <c r="K15" s="118" t="s">
        <v>89</v>
      </c>
      <c r="L15" s="14" t="s">
        <v>90</v>
      </c>
      <c r="M15" s="126" t="s">
        <v>91</v>
      </c>
      <c r="N15" s="118" t="s">
        <v>92</v>
      </c>
      <c r="O15" s="14" t="s">
        <v>93</v>
      </c>
      <c r="P15" s="126" t="s">
        <v>94</v>
      </c>
      <c r="Q15" s="151" t="s">
        <v>95</v>
      </c>
      <c r="R15" s="15" t="s">
        <v>96</v>
      </c>
    </row>
    <row r="16" spans="1:19" ht="16.5" thickTop="1" x14ac:dyDescent="0.25">
      <c r="A16" s="168"/>
      <c r="B16" s="12"/>
      <c r="C16" s="10"/>
      <c r="D16" s="112"/>
      <c r="E16" s="90"/>
      <c r="F16" s="12"/>
      <c r="G16" s="127"/>
      <c r="H16" s="121"/>
      <c r="I16" s="12"/>
      <c r="J16" s="12"/>
      <c r="K16" s="119"/>
      <c r="L16" s="12"/>
      <c r="M16" s="127"/>
      <c r="N16" s="119"/>
      <c r="O16" s="12"/>
      <c r="P16" s="127"/>
      <c r="Q16" s="18"/>
      <c r="R16" s="70"/>
      <c r="S16" s="73"/>
    </row>
    <row r="17" spans="1:19" x14ac:dyDescent="0.25">
      <c r="A17" s="38" t="s">
        <v>97</v>
      </c>
      <c r="B17" s="10"/>
      <c r="C17" s="10"/>
      <c r="D17" s="112"/>
      <c r="E17" s="90"/>
      <c r="F17" s="10"/>
      <c r="G17" s="125"/>
      <c r="H17" s="54"/>
      <c r="I17" s="10"/>
      <c r="J17" s="10"/>
      <c r="K17" s="90"/>
      <c r="L17" s="10"/>
      <c r="M17" s="125"/>
      <c r="N17" s="90"/>
      <c r="O17" s="10"/>
      <c r="P17" s="125"/>
      <c r="Q17" s="152"/>
      <c r="R17" s="18"/>
      <c r="S17" s="73"/>
    </row>
    <row r="18" spans="1:19" x14ac:dyDescent="0.25">
      <c r="A18" s="38"/>
      <c r="B18" s="10"/>
      <c r="C18" s="10"/>
      <c r="D18" s="112"/>
      <c r="E18" s="145" t="s">
        <v>98</v>
      </c>
      <c r="F18" s="10"/>
      <c r="G18" s="125"/>
      <c r="H18" s="54"/>
      <c r="I18" s="10"/>
      <c r="J18" s="10"/>
      <c r="K18" s="90"/>
      <c r="L18" s="10"/>
      <c r="M18" s="125"/>
      <c r="N18" s="90"/>
      <c r="O18" s="10"/>
      <c r="P18" s="125"/>
      <c r="Q18" s="153" t="s">
        <v>99</v>
      </c>
      <c r="R18" s="18"/>
      <c r="S18" s="73"/>
    </row>
    <row r="19" spans="1:19" x14ac:dyDescent="0.25">
      <c r="A19" s="38" t="s">
        <v>100</v>
      </c>
      <c r="B19" s="10"/>
      <c r="C19" s="10"/>
      <c r="D19" s="112"/>
      <c r="E19" s="51"/>
      <c r="F19" s="17"/>
      <c r="G19" s="27"/>
      <c r="H19" s="53"/>
      <c r="I19" s="17"/>
      <c r="J19" s="17"/>
      <c r="K19" s="51"/>
      <c r="L19" s="17"/>
      <c r="M19" s="27"/>
      <c r="N19" s="51"/>
      <c r="O19" s="17"/>
      <c r="P19" s="27"/>
      <c r="Q19" s="53"/>
      <c r="R19" s="19"/>
      <c r="S19" s="73"/>
    </row>
    <row r="20" spans="1:19" x14ac:dyDescent="0.25">
      <c r="A20" s="30" t="s">
        <v>101</v>
      </c>
      <c r="B20" s="10"/>
      <c r="C20" s="10"/>
      <c r="D20" s="112" t="s">
        <v>102</v>
      </c>
      <c r="E20" s="51">
        <v>25</v>
      </c>
      <c r="F20" s="17">
        <v>600</v>
      </c>
      <c r="G20" s="27">
        <f t="shared" ref="G20:G25" si="0">ROUND((+E20*F20),0)</f>
        <v>15000</v>
      </c>
      <c r="H20" s="53">
        <v>3</v>
      </c>
      <c r="I20" s="17">
        <f t="shared" ref="I20:I25" si="1">F20</f>
        <v>600</v>
      </c>
      <c r="J20" s="17">
        <f t="shared" ref="J20:J25" si="2">ROUND((+H20*I20),0)</f>
        <v>1800</v>
      </c>
      <c r="K20" s="51">
        <v>3</v>
      </c>
      <c r="L20" s="17">
        <f t="shared" ref="L20:L25" si="3">I20*(1+$B$9)</f>
        <v>618</v>
      </c>
      <c r="M20" s="27">
        <f t="shared" ref="M20:M25" si="4">ROUND((+K20*L20),0)</f>
        <v>1854</v>
      </c>
      <c r="N20" s="51">
        <v>18</v>
      </c>
      <c r="O20" s="17">
        <f t="shared" ref="O20:O25" si="5">L20*(1+$B$9)</f>
        <v>636.54</v>
      </c>
      <c r="P20" s="27">
        <f t="shared" ref="P20:P25" si="6">ROUND((+N20*O20),0)</f>
        <v>11458</v>
      </c>
      <c r="Q20" s="53">
        <f t="shared" ref="Q20:Q25" si="7">E20+H20+K20+N20</f>
        <v>49</v>
      </c>
      <c r="R20" s="19">
        <f t="shared" ref="R20:R25" si="8">G20+J20+M20+P20</f>
        <v>30112</v>
      </c>
      <c r="S20" s="74"/>
    </row>
    <row r="21" spans="1:19" x14ac:dyDescent="0.25">
      <c r="A21" s="30" t="s">
        <v>103</v>
      </c>
      <c r="B21" s="10"/>
      <c r="C21" s="10"/>
      <c r="D21" s="112" t="s">
        <v>104</v>
      </c>
      <c r="E21" s="51">
        <v>2</v>
      </c>
      <c r="F21" s="17">
        <v>600</v>
      </c>
      <c r="G21" s="27">
        <f t="shared" si="0"/>
        <v>1200</v>
      </c>
      <c r="H21" s="53">
        <v>2</v>
      </c>
      <c r="I21" s="17">
        <f t="shared" si="1"/>
        <v>600</v>
      </c>
      <c r="J21" s="17">
        <f t="shared" si="2"/>
        <v>1200</v>
      </c>
      <c r="K21" s="51">
        <v>2</v>
      </c>
      <c r="L21" s="17">
        <f t="shared" si="3"/>
        <v>618</v>
      </c>
      <c r="M21" s="27">
        <f t="shared" si="4"/>
        <v>1236</v>
      </c>
      <c r="N21" s="51">
        <v>2</v>
      </c>
      <c r="O21" s="17">
        <f t="shared" si="5"/>
        <v>636.54</v>
      </c>
      <c r="P21" s="27">
        <f t="shared" si="6"/>
        <v>1273</v>
      </c>
      <c r="Q21" s="53">
        <f t="shared" si="7"/>
        <v>8</v>
      </c>
      <c r="R21" s="19">
        <f t="shared" si="8"/>
        <v>4909</v>
      </c>
      <c r="S21" s="74"/>
    </row>
    <row r="22" spans="1:19" x14ac:dyDescent="0.25">
      <c r="A22" s="170" t="s">
        <v>105</v>
      </c>
      <c r="B22" s="10"/>
      <c r="C22" s="107" t="s">
        <v>106</v>
      </c>
      <c r="D22" s="114" t="s">
        <v>107</v>
      </c>
      <c r="E22" s="51">
        <f>$B$10*2</f>
        <v>4</v>
      </c>
      <c r="F22" s="17">
        <v>600</v>
      </c>
      <c r="G22" s="27">
        <f t="shared" si="0"/>
        <v>2400</v>
      </c>
      <c r="H22" s="53">
        <f>$B$10*2</f>
        <v>4</v>
      </c>
      <c r="I22" s="17">
        <f t="shared" si="1"/>
        <v>600</v>
      </c>
      <c r="J22" s="17">
        <f t="shared" si="2"/>
        <v>2400</v>
      </c>
      <c r="K22" s="51">
        <f>$B$10*2</f>
        <v>4</v>
      </c>
      <c r="L22" s="17">
        <f t="shared" si="3"/>
        <v>618</v>
      </c>
      <c r="M22" s="27">
        <f t="shared" si="4"/>
        <v>2472</v>
      </c>
      <c r="N22" s="51">
        <f>$B$10*2</f>
        <v>4</v>
      </c>
      <c r="O22" s="17">
        <f t="shared" si="5"/>
        <v>636.54</v>
      </c>
      <c r="P22" s="27">
        <f t="shared" si="6"/>
        <v>2546</v>
      </c>
      <c r="Q22" s="53">
        <f t="shared" si="7"/>
        <v>16</v>
      </c>
      <c r="R22" s="19">
        <f t="shared" si="8"/>
        <v>9818</v>
      </c>
      <c r="S22" s="74"/>
    </row>
    <row r="23" spans="1:19" x14ac:dyDescent="0.25">
      <c r="A23" s="30" t="s">
        <v>108</v>
      </c>
      <c r="B23" s="10"/>
      <c r="C23" s="10"/>
      <c r="D23" s="112" t="s">
        <v>109</v>
      </c>
      <c r="E23" s="51">
        <v>12</v>
      </c>
      <c r="F23" s="17">
        <v>300</v>
      </c>
      <c r="G23" s="27">
        <f t="shared" si="0"/>
        <v>3600</v>
      </c>
      <c r="H23" s="53">
        <v>12</v>
      </c>
      <c r="I23" s="17">
        <f t="shared" si="1"/>
        <v>300</v>
      </c>
      <c r="J23" s="17">
        <f t="shared" si="2"/>
        <v>3600</v>
      </c>
      <c r="K23" s="51">
        <v>12</v>
      </c>
      <c r="L23" s="17">
        <f t="shared" si="3"/>
        <v>309</v>
      </c>
      <c r="M23" s="27">
        <f t="shared" si="4"/>
        <v>3708</v>
      </c>
      <c r="N23" s="51">
        <v>12</v>
      </c>
      <c r="O23" s="17">
        <f t="shared" si="5"/>
        <v>318.27</v>
      </c>
      <c r="P23" s="27">
        <f t="shared" si="6"/>
        <v>3819</v>
      </c>
      <c r="Q23" s="53">
        <f t="shared" si="7"/>
        <v>48</v>
      </c>
      <c r="R23" s="19">
        <f t="shared" si="8"/>
        <v>14727</v>
      </c>
      <c r="S23" s="74"/>
    </row>
    <row r="24" spans="1:19" x14ac:dyDescent="0.25">
      <c r="A24" s="30" t="s">
        <v>110</v>
      </c>
      <c r="B24" s="10"/>
      <c r="C24" s="10"/>
      <c r="D24" s="112" t="s">
        <v>111</v>
      </c>
      <c r="E24" s="51">
        <v>6</v>
      </c>
      <c r="F24" s="17">
        <v>450</v>
      </c>
      <c r="G24" s="27">
        <f t="shared" si="0"/>
        <v>2700</v>
      </c>
      <c r="H24" s="53">
        <v>6</v>
      </c>
      <c r="I24" s="17">
        <f t="shared" si="1"/>
        <v>450</v>
      </c>
      <c r="J24" s="17">
        <f t="shared" si="2"/>
        <v>2700</v>
      </c>
      <c r="K24" s="51">
        <v>6</v>
      </c>
      <c r="L24" s="17">
        <f t="shared" si="3"/>
        <v>463.5</v>
      </c>
      <c r="M24" s="27">
        <f t="shared" si="4"/>
        <v>2781</v>
      </c>
      <c r="N24" s="51">
        <v>6</v>
      </c>
      <c r="O24" s="17">
        <f t="shared" si="5"/>
        <v>477.40500000000003</v>
      </c>
      <c r="P24" s="27">
        <f t="shared" si="6"/>
        <v>2864</v>
      </c>
      <c r="Q24" s="53">
        <f t="shared" si="7"/>
        <v>24</v>
      </c>
      <c r="R24" s="19">
        <f t="shared" si="8"/>
        <v>11045</v>
      </c>
      <c r="S24" s="74"/>
    </row>
    <row r="25" spans="1:19" x14ac:dyDescent="0.25">
      <c r="A25" s="30" t="s">
        <v>112</v>
      </c>
      <c r="B25" s="10"/>
      <c r="C25" s="10"/>
      <c r="D25" s="112" t="s">
        <v>113</v>
      </c>
      <c r="E25" s="51">
        <v>6</v>
      </c>
      <c r="F25" s="17">
        <v>300</v>
      </c>
      <c r="G25" s="27">
        <f t="shared" si="0"/>
        <v>1800</v>
      </c>
      <c r="H25" s="53">
        <v>6</v>
      </c>
      <c r="I25" s="17">
        <f t="shared" si="1"/>
        <v>300</v>
      </c>
      <c r="J25" s="17">
        <f t="shared" si="2"/>
        <v>1800</v>
      </c>
      <c r="K25" s="51">
        <v>6</v>
      </c>
      <c r="L25" s="17">
        <f t="shared" si="3"/>
        <v>309</v>
      </c>
      <c r="M25" s="27">
        <f t="shared" si="4"/>
        <v>1854</v>
      </c>
      <c r="N25" s="51">
        <v>6</v>
      </c>
      <c r="O25" s="17">
        <f t="shared" si="5"/>
        <v>318.27</v>
      </c>
      <c r="P25" s="27">
        <f t="shared" si="6"/>
        <v>1910</v>
      </c>
      <c r="Q25" s="53">
        <f t="shared" si="7"/>
        <v>24</v>
      </c>
      <c r="R25" s="19">
        <f t="shared" si="8"/>
        <v>7364</v>
      </c>
      <c r="S25" s="74"/>
    </row>
    <row r="26" spans="1:19" x14ac:dyDescent="0.25">
      <c r="A26" s="38"/>
      <c r="B26" s="10"/>
      <c r="C26" s="10"/>
      <c r="D26" s="112"/>
      <c r="E26" s="51"/>
      <c r="F26" s="17"/>
      <c r="G26" s="27"/>
      <c r="H26" s="53"/>
      <c r="I26" s="17"/>
      <c r="J26" s="17"/>
      <c r="K26" s="51"/>
      <c r="L26" s="17"/>
      <c r="M26" s="27"/>
      <c r="N26" s="51"/>
      <c r="O26" s="17"/>
      <c r="P26" s="27"/>
      <c r="Q26" s="53"/>
      <c r="R26" s="19"/>
      <c r="S26" s="73"/>
    </row>
    <row r="27" spans="1:19" s="20" customFormat="1" x14ac:dyDescent="0.25">
      <c r="A27" s="161" t="s">
        <v>114</v>
      </c>
      <c r="B27" s="18"/>
      <c r="C27" s="18"/>
      <c r="D27" s="115"/>
      <c r="E27" s="51"/>
      <c r="F27" s="19"/>
      <c r="G27" s="96">
        <f>SUM(G20:G26)</f>
        <v>26700</v>
      </c>
      <c r="H27" s="53"/>
      <c r="I27" s="19"/>
      <c r="J27" s="19">
        <f>SUM(J20:J26)</f>
        <v>13500</v>
      </c>
      <c r="K27" s="51"/>
      <c r="L27" s="19"/>
      <c r="M27" s="96">
        <f>SUM(M20:M26)</f>
        <v>13905</v>
      </c>
      <c r="N27" s="51"/>
      <c r="O27" s="19"/>
      <c r="P27" s="96">
        <f>SUM(P20:P26)</f>
        <v>23870</v>
      </c>
      <c r="Q27" s="42"/>
      <c r="R27" s="19">
        <f>SUM(R20:R26)</f>
        <v>77975</v>
      </c>
      <c r="S27" s="75"/>
    </row>
    <row r="28" spans="1:19" s="20" customFormat="1" x14ac:dyDescent="0.25">
      <c r="A28" s="161"/>
      <c r="B28" s="18"/>
      <c r="C28" s="18"/>
      <c r="D28" s="115"/>
      <c r="E28" s="51"/>
      <c r="F28" s="19"/>
      <c r="G28" s="96"/>
      <c r="H28" s="53"/>
      <c r="I28" s="19"/>
      <c r="J28" s="19"/>
      <c r="K28" s="51"/>
      <c r="L28" s="19"/>
      <c r="M28" s="96"/>
      <c r="N28" s="51"/>
      <c r="O28" s="19"/>
      <c r="P28" s="96"/>
      <c r="Q28" s="42"/>
      <c r="R28" s="19"/>
      <c r="S28" s="75"/>
    </row>
    <row r="29" spans="1:19" x14ac:dyDescent="0.25">
      <c r="A29" s="38" t="s">
        <v>115</v>
      </c>
      <c r="B29" s="10"/>
      <c r="C29" s="10"/>
      <c r="D29" s="112"/>
      <c r="E29" s="51"/>
      <c r="F29" s="17"/>
      <c r="G29" s="27"/>
      <c r="H29" s="53"/>
      <c r="I29" s="17"/>
      <c r="J29" s="17"/>
      <c r="K29" s="51"/>
      <c r="L29" s="17"/>
      <c r="M29" s="27"/>
      <c r="N29" s="51"/>
      <c r="O29" s="17"/>
      <c r="P29" s="27"/>
      <c r="Q29" s="154"/>
      <c r="R29" s="19"/>
      <c r="S29" s="73"/>
    </row>
    <row r="30" spans="1:19" x14ac:dyDescent="0.25">
      <c r="A30" s="30" t="s">
        <v>116</v>
      </c>
      <c r="B30" s="10"/>
      <c r="C30" s="10"/>
      <c r="D30" s="112" t="s">
        <v>117</v>
      </c>
      <c r="E30" s="51">
        <v>10</v>
      </c>
      <c r="F30" s="17">
        <v>250</v>
      </c>
      <c r="G30" s="27">
        <f>ROUND((+E30*F30),0)</f>
        <v>2500</v>
      </c>
      <c r="H30" s="53">
        <v>6</v>
      </c>
      <c r="I30" s="17">
        <f>F30</f>
        <v>250</v>
      </c>
      <c r="J30" s="17">
        <f>ROUND((+H30*I30),0)</f>
        <v>1500</v>
      </c>
      <c r="K30" s="51">
        <v>6</v>
      </c>
      <c r="L30" s="17">
        <f>I30*(1+$B$9)</f>
        <v>257.5</v>
      </c>
      <c r="M30" s="27">
        <f>ROUND((+K30*L30),0)</f>
        <v>1545</v>
      </c>
      <c r="N30" s="51">
        <v>6</v>
      </c>
      <c r="O30" s="17">
        <f>L30*(1+$B$9)</f>
        <v>265.22500000000002</v>
      </c>
      <c r="P30" s="27">
        <f>ROUND((+N30*O30),0)</f>
        <v>1591</v>
      </c>
      <c r="Q30" s="53">
        <f>E30+H30+K30+N30</f>
        <v>28</v>
      </c>
      <c r="R30" s="19">
        <f>G30+J30+M30+P30</f>
        <v>7136</v>
      </c>
      <c r="S30" s="74"/>
    </row>
    <row r="31" spans="1:19" x14ac:dyDescent="0.25">
      <c r="A31" s="30" t="s">
        <v>118</v>
      </c>
      <c r="B31" s="10"/>
      <c r="C31" s="10"/>
      <c r="D31" s="112" t="s">
        <v>119</v>
      </c>
      <c r="E31" s="51">
        <v>7</v>
      </c>
      <c r="F31" s="17">
        <v>250</v>
      </c>
      <c r="G31" s="27">
        <f t="shared" ref="G31:G32" si="9">ROUND((+E31*F31),0)</f>
        <v>1750</v>
      </c>
      <c r="H31" s="53">
        <v>7</v>
      </c>
      <c r="I31" s="17">
        <f t="shared" ref="I31:I32" si="10">F31</f>
        <v>250</v>
      </c>
      <c r="J31" s="17">
        <f t="shared" ref="J31:J32" si="11">ROUND((+H31*I31),0)</f>
        <v>1750</v>
      </c>
      <c r="K31" s="51">
        <v>7</v>
      </c>
      <c r="L31" s="17">
        <f t="shared" ref="L31:L32" si="12">I31*(1+$B$9)</f>
        <v>257.5</v>
      </c>
      <c r="M31" s="27">
        <f t="shared" ref="M31:M32" si="13">ROUND((+K31*L31),0)</f>
        <v>1803</v>
      </c>
      <c r="N31" s="51">
        <v>7</v>
      </c>
      <c r="O31" s="17">
        <f t="shared" ref="O31:O32" si="14">L31*(1+$B$9)</f>
        <v>265.22500000000002</v>
      </c>
      <c r="P31" s="27">
        <f t="shared" ref="P31:P32" si="15">ROUND((+N31*O31),0)</f>
        <v>1857</v>
      </c>
      <c r="Q31" s="53">
        <f t="shared" ref="Q31:Q32" si="16">E31+H31+K31+N31</f>
        <v>28</v>
      </c>
      <c r="R31" s="19">
        <f>G31+J31+M31+P31</f>
        <v>7160</v>
      </c>
      <c r="S31" s="74"/>
    </row>
    <row r="32" spans="1:19" x14ac:dyDescent="0.25">
      <c r="A32" s="170" t="s">
        <v>120</v>
      </c>
      <c r="B32" s="10"/>
      <c r="C32" s="107" t="s">
        <v>121</v>
      </c>
      <c r="D32" s="114" t="s">
        <v>122</v>
      </c>
      <c r="E32" s="51">
        <f>$B$10*9</f>
        <v>18</v>
      </c>
      <c r="F32" s="17">
        <v>250</v>
      </c>
      <c r="G32" s="27">
        <f t="shared" si="9"/>
        <v>4500</v>
      </c>
      <c r="H32" s="53">
        <f>$B$10*9</f>
        <v>18</v>
      </c>
      <c r="I32" s="17">
        <f t="shared" si="10"/>
        <v>250</v>
      </c>
      <c r="J32" s="17">
        <f t="shared" si="11"/>
        <v>4500</v>
      </c>
      <c r="K32" s="51">
        <f>$B$10*9</f>
        <v>18</v>
      </c>
      <c r="L32" s="17">
        <f t="shared" si="12"/>
        <v>257.5</v>
      </c>
      <c r="M32" s="27">
        <f t="shared" si="13"/>
        <v>4635</v>
      </c>
      <c r="N32" s="51">
        <f>$B$10*9</f>
        <v>18</v>
      </c>
      <c r="O32" s="17">
        <f t="shared" si="14"/>
        <v>265.22500000000002</v>
      </c>
      <c r="P32" s="27">
        <f t="shared" si="15"/>
        <v>4774</v>
      </c>
      <c r="Q32" s="53">
        <f t="shared" si="16"/>
        <v>72</v>
      </c>
      <c r="R32" s="19">
        <f>G32+J32+M32+P32</f>
        <v>18409</v>
      </c>
      <c r="S32" s="74"/>
    </row>
    <row r="33" spans="1:19" x14ac:dyDescent="0.25">
      <c r="A33" s="171"/>
      <c r="B33" s="10"/>
      <c r="C33" s="10"/>
      <c r="D33" s="112"/>
      <c r="E33" s="51"/>
      <c r="F33" s="17"/>
      <c r="G33" s="27"/>
      <c r="H33" s="53"/>
      <c r="I33" s="17"/>
      <c r="J33" s="17"/>
      <c r="K33" s="51"/>
      <c r="L33" s="17"/>
      <c r="M33" s="27"/>
      <c r="N33" s="51"/>
      <c r="O33" s="17"/>
      <c r="P33" s="27"/>
      <c r="Q33" s="53"/>
      <c r="R33" s="19"/>
      <c r="S33" s="73"/>
    </row>
    <row r="34" spans="1:19" x14ac:dyDescent="0.25">
      <c r="A34" s="172" t="s">
        <v>123</v>
      </c>
      <c r="B34" s="18"/>
      <c r="C34" s="18"/>
      <c r="D34" s="115"/>
      <c r="E34" s="51"/>
      <c r="F34" s="32"/>
      <c r="G34" s="49">
        <f>SUM(G30:G33)</f>
        <v>8750</v>
      </c>
      <c r="H34" s="122"/>
      <c r="I34" s="32"/>
      <c r="J34" s="32">
        <f>SUM(J30:J33)</f>
        <v>7750</v>
      </c>
      <c r="K34" s="52"/>
      <c r="L34" s="32"/>
      <c r="M34" s="49">
        <f>SUM(M30:M33)</f>
        <v>7983</v>
      </c>
      <c r="N34" s="52"/>
      <c r="O34" s="32"/>
      <c r="P34" s="49">
        <f>SUM(P30:P33)</f>
        <v>8222</v>
      </c>
      <c r="Q34" s="53"/>
      <c r="R34" s="32">
        <f>SUM(R30:R33)</f>
        <v>32705</v>
      </c>
      <c r="S34" s="73"/>
    </row>
    <row r="35" spans="1:19" x14ac:dyDescent="0.25">
      <c r="A35" s="74"/>
      <c r="B35" s="10"/>
      <c r="C35" s="10"/>
      <c r="D35" s="112"/>
      <c r="E35" s="51"/>
      <c r="F35" s="17"/>
      <c r="G35" s="27"/>
      <c r="H35" s="53"/>
      <c r="I35" s="17"/>
      <c r="J35" s="17"/>
      <c r="K35" s="51"/>
      <c r="L35" s="17"/>
      <c r="M35" s="27"/>
      <c r="N35" s="51" t="s">
        <v>124</v>
      </c>
      <c r="O35" s="17"/>
      <c r="P35" s="27"/>
      <c r="Q35" s="53"/>
      <c r="R35" s="19"/>
      <c r="S35" s="73"/>
    </row>
    <row r="36" spans="1:19" ht="16.5" thickBot="1" x14ac:dyDescent="0.3">
      <c r="A36" s="48" t="s">
        <v>125</v>
      </c>
      <c r="B36" s="13"/>
      <c r="C36" s="13"/>
      <c r="D36" s="113"/>
      <c r="E36" s="65"/>
      <c r="F36" s="21"/>
      <c r="G36" s="46">
        <f>G34+G27</f>
        <v>35450</v>
      </c>
      <c r="H36" s="137"/>
      <c r="I36" s="25"/>
      <c r="J36" s="25">
        <f>J34+J27</f>
        <v>21250</v>
      </c>
      <c r="K36" s="136"/>
      <c r="L36" s="25"/>
      <c r="M36" s="46">
        <f>M34+M27</f>
        <v>21888</v>
      </c>
      <c r="N36" s="136" t="s">
        <v>126</v>
      </c>
      <c r="O36" s="25"/>
      <c r="P36" s="46">
        <f>P34+P27</f>
        <v>32092</v>
      </c>
      <c r="Q36" s="138"/>
      <c r="R36" s="46">
        <f>R34+R27</f>
        <v>110680</v>
      </c>
      <c r="S36" s="73"/>
    </row>
    <row r="37" spans="1:19" ht="16.5" thickTop="1" x14ac:dyDescent="0.25">
      <c r="A37" s="74"/>
      <c r="B37" s="10"/>
      <c r="C37" s="10"/>
      <c r="D37" s="112"/>
      <c r="E37" s="90"/>
      <c r="F37" s="17"/>
      <c r="G37" s="27"/>
      <c r="H37" s="54"/>
      <c r="I37" s="17"/>
      <c r="J37" s="17"/>
      <c r="K37" s="90"/>
      <c r="L37" s="17"/>
      <c r="M37" s="27"/>
      <c r="N37" s="90"/>
      <c r="O37" s="17"/>
      <c r="P37" s="27"/>
      <c r="Q37" s="22"/>
      <c r="R37" s="19"/>
      <c r="S37" s="73"/>
    </row>
    <row r="38" spans="1:19" x14ac:dyDescent="0.25">
      <c r="A38" s="38" t="s">
        <v>127</v>
      </c>
      <c r="B38" s="10"/>
      <c r="C38" s="10"/>
      <c r="D38" s="112"/>
      <c r="E38" s="90"/>
      <c r="F38" s="17"/>
      <c r="G38" s="27"/>
      <c r="H38" s="54"/>
      <c r="I38" s="17"/>
      <c r="J38" s="17" t="s">
        <v>128</v>
      </c>
      <c r="K38" s="90"/>
      <c r="L38" s="17"/>
      <c r="M38" s="27" t="s">
        <v>129</v>
      </c>
      <c r="N38" s="90"/>
      <c r="O38" s="17"/>
      <c r="P38" s="27" t="s">
        <v>130</v>
      </c>
      <c r="Q38" s="22"/>
      <c r="R38" s="19" t="s">
        <v>131</v>
      </c>
      <c r="S38" s="73"/>
    </row>
    <row r="39" spans="1:19" x14ac:dyDescent="0.25">
      <c r="A39" s="30" t="s">
        <v>132</v>
      </c>
      <c r="B39" s="10"/>
      <c r="C39" s="10"/>
      <c r="D39" s="112" t="s">
        <v>133</v>
      </c>
      <c r="E39" s="120">
        <f>$B$7</f>
        <v>0.15</v>
      </c>
      <c r="F39" s="17">
        <f>G27</f>
        <v>26700</v>
      </c>
      <c r="G39" s="27">
        <f t="shared" ref="G39" si="17">ROUND((+E39*F39),0)</f>
        <v>4005</v>
      </c>
      <c r="H39" s="79">
        <f>$B$7</f>
        <v>0.15</v>
      </c>
      <c r="I39" s="17">
        <f>J27</f>
        <v>13500</v>
      </c>
      <c r="J39" s="17">
        <f>ROUND((+H39*I39),0)</f>
        <v>2025</v>
      </c>
      <c r="K39" s="120">
        <f>$B$7</f>
        <v>0.15</v>
      </c>
      <c r="L39" s="17">
        <f>M27</f>
        <v>13905</v>
      </c>
      <c r="M39" s="27">
        <f>ROUND((+K39*L39),0)</f>
        <v>2086</v>
      </c>
      <c r="N39" s="120">
        <f>$B$7</f>
        <v>0.15</v>
      </c>
      <c r="O39" s="17">
        <f>P27</f>
        <v>23870</v>
      </c>
      <c r="P39" s="27">
        <f>ROUND((+N39*O39),0)</f>
        <v>3581</v>
      </c>
      <c r="Q39" s="23"/>
      <c r="R39" s="19">
        <f>G39+J39+M39+P39</f>
        <v>11697</v>
      </c>
      <c r="S39" s="73"/>
    </row>
    <row r="40" spans="1:19" x14ac:dyDescent="0.25">
      <c r="A40" s="30" t="s">
        <v>134</v>
      </c>
      <c r="B40" s="10"/>
      <c r="C40" s="10"/>
      <c r="D40" s="112"/>
      <c r="E40" s="90"/>
      <c r="F40" s="17"/>
      <c r="G40" s="47"/>
      <c r="H40" s="55"/>
      <c r="I40" s="36"/>
      <c r="J40" s="36"/>
      <c r="K40" s="87"/>
      <c r="L40" s="36"/>
      <c r="M40" s="47"/>
      <c r="N40" s="87"/>
      <c r="O40" s="36"/>
      <c r="P40" s="47"/>
      <c r="Q40" s="37"/>
      <c r="R40" s="32"/>
      <c r="S40" s="73"/>
    </row>
    <row r="41" spans="1:19" x14ac:dyDescent="0.25">
      <c r="A41" s="30"/>
      <c r="B41" s="10"/>
      <c r="C41" s="10"/>
      <c r="D41" s="112"/>
      <c r="E41" s="90"/>
      <c r="F41" s="17"/>
      <c r="G41" s="47"/>
      <c r="H41" s="54"/>
      <c r="I41" s="17"/>
      <c r="J41" s="36"/>
      <c r="K41" s="90"/>
      <c r="L41" s="17"/>
      <c r="M41" s="47"/>
      <c r="N41" s="90"/>
      <c r="O41" s="17"/>
      <c r="P41" s="47"/>
      <c r="Q41" s="23"/>
      <c r="R41" s="32"/>
      <c r="S41" s="73"/>
    </row>
    <row r="42" spans="1:19" s="20" customFormat="1" ht="16.5" thickBot="1" x14ac:dyDescent="0.3">
      <c r="A42" s="48" t="s">
        <v>135</v>
      </c>
      <c r="B42" s="24"/>
      <c r="C42" s="24"/>
      <c r="D42" s="116"/>
      <c r="E42" s="91"/>
      <c r="F42" s="25"/>
      <c r="G42" s="46">
        <f>SUM(G39:G41)</f>
        <v>4005</v>
      </c>
      <c r="H42" s="67"/>
      <c r="I42" s="25"/>
      <c r="J42" s="25">
        <f>SUM(J39:J41)</f>
        <v>2025</v>
      </c>
      <c r="K42" s="91"/>
      <c r="L42" s="25"/>
      <c r="M42" s="46">
        <f>SUM(M39:M41)</f>
        <v>2086</v>
      </c>
      <c r="N42" s="91"/>
      <c r="O42" s="25"/>
      <c r="P42" s="46">
        <f>SUM(P39:P41)</f>
        <v>3581</v>
      </c>
      <c r="Q42" s="24"/>
      <c r="R42" s="25">
        <f>SUM(R39:R41)</f>
        <v>11697</v>
      </c>
      <c r="S42" s="75"/>
    </row>
    <row r="43" spans="1:19" ht="16.5" thickTop="1" x14ac:dyDescent="0.25">
      <c r="A43" s="74"/>
      <c r="B43" s="10"/>
      <c r="C43" s="10"/>
      <c r="D43" s="112"/>
      <c r="E43" s="57"/>
      <c r="F43" s="17"/>
      <c r="G43" s="27"/>
      <c r="H43" s="56"/>
      <c r="I43" s="17"/>
      <c r="J43" s="17"/>
      <c r="K43" s="57"/>
      <c r="L43" s="17"/>
      <c r="M43" s="27"/>
      <c r="N43" s="57"/>
      <c r="O43" s="17"/>
      <c r="P43" s="27"/>
      <c r="Q43" s="18"/>
      <c r="R43" s="19"/>
      <c r="S43" s="73"/>
    </row>
    <row r="44" spans="1:19" x14ac:dyDescent="0.25">
      <c r="A44" s="38" t="s">
        <v>136</v>
      </c>
      <c r="B44" s="10"/>
      <c r="C44" s="10"/>
      <c r="D44" s="112"/>
      <c r="E44" s="57"/>
      <c r="F44" s="17"/>
      <c r="G44" s="27"/>
      <c r="H44" s="56"/>
      <c r="I44" s="17"/>
      <c r="J44" s="17"/>
      <c r="K44" s="57"/>
      <c r="L44" s="17"/>
      <c r="M44" s="27"/>
      <c r="N44" s="57"/>
      <c r="O44" s="17"/>
      <c r="P44" s="27"/>
      <c r="Q44" s="18"/>
      <c r="R44" s="19"/>
      <c r="S44" s="73"/>
    </row>
    <row r="45" spans="1:19" x14ac:dyDescent="0.25">
      <c r="A45" s="74"/>
      <c r="B45" s="10"/>
      <c r="C45" s="10"/>
      <c r="D45" s="112"/>
      <c r="E45" s="90"/>
      <c r="F45" s="17"/>
      <c r="G45" s="27"/>
      <c r="H45" s="54"/>
      <c r="I45" s="17"/>
      <c r="J45" s="17"/>
      <c r="K45" s="90"/>
      <c r="L45" s="17"/>
      <c r="M45" s="27"/>
      <c r="N45" s="90"/>
      <c r="O45" s="17"/>
      <c r="P45" s="27"/>
      <c r="Q45" s="29" t="s">
        <v>137</v>
      </c>
      <c r="R45" s="19"/>
      <c r="S45" s="73"/>
    </row>
    <row r="46" spans="1:19" x14ac:dyDescent="0.25">
      <c r="A46" s="38" t="s">
        <v>138</v>
      </c>
      <c r="B46" s="10"/>
      <c r="C46" s="10"/>
      <c r="D46" s="112"/>
      <c r="E46" s="57"/>
      <c r="F46" s="17"/>
      <c r="G46" s="27"/>
      <c r="H46" s="56"/>
      <c r="I46" s="17"/>
      <c r="J46" s="17"/>
      <c r="K46" s="57"/>
      <c r="L46" s="17"/>
      <c r="M46" s="27"/>
      <c r="N46" s="57"/>
      <c r="O46" s="17"/>
      <c r="P46" s="27"/>
      <c r="Q46" s="29" t="s">
        <v>139</v>
      </c>
      <c r="R46" s="19"/>
      <c r="S46" s="73"/>
    </row>
    <row r="47" spans="1:19" x14ac:dyDescent="0.25">
      <c r="A47" s="173" t="s">
        <v>140</v>
      </c>
      <c r="B47" s="16"/>
      <c r="C47" s="10"/>
      <c r="D47" s="112"/>
      <c r="E47" s="57"/>
      <c r="F47" s="17"/>
      <c r="G47" s="27"/>
      <c r="H47" s="56"/>
      <c r="I47" s="17"/>
      <c r="J47" s="17"/>
      <c r="K47" s="57"/>
      <c r="L47" s="17"/>
      <c r="M47" s="27"/>
      <c r="N47" s="57"/>
      <c r="O47" s="17"/>
      <c r="P47" s="27"/>
      <c r="Q47" s="28"/>
      <c r="R47" s="19"/>
      <c r="S47" s="76"/>
    </row>
    <row r="48" spans="1:19" x14ac:dyDescent="0.25">
      <c r="A48" s="26" t="s">
        <v>141</v>
      </c>
      <c r="B48" s="16"/>
      <c r="C48" s="10"/>
      <c r="D48" s="112"/>
      <c r="E48" s="57"/>
      <c r="F48" s="17"/>
      <c r="G48" s="27"/>
      <c r="H48" s="56"/>
      <c r="I48" s="17"/>
      <c r="J48" s="17"/>
      <c r="K48" s="57"/>
      <c r="L48" s="17"/>
      <c r="M48" s="27"/>
      <c r="N48" s="57"/>
      <c r="O48" s="17"/>
      <c r="P48" s="27"/>
      <c r="Q48" s="28"/>
      <c r="R48" s="19"/>
      <c r="S48" s="76"/>
    </row>
    <row r="49" spans="1:21" x14ac:dyDescent="0.25">
      <c r="A49" s="30" t="s">
        <v>142</v>
      </c>
      <c r="B49" s="16"/>
      <c r="C49" s="10"/>
      <c r="D49" s="112" t="s">
        <v>143</v>
      </c>
      <c r="E49" s="57">
        <v>1</v>
      </c>
      <c r="F49" s="17">
        <v>1000</v>
      </c>
      <c r="G49" s="27">
        <f t="shared" ref="G49:G51" si="18">ROUND((+E49*F49),0)</f>
        <v>1000</v>
      </c>
      <c r="H49" s="56"/>
      <c r="I49" s="17">
        <f t="shared" ref="I49:I51" si="19">F49</f>
        <v>1000</v>
      </c>
      <c r="J49" s="17">
        <f t="shared" ref="J49:J51" si="20">ROUND((+H49*I49),0)</f>
        <v>0</v>
      </c>
      <c r="K49" s="57"/>
      <c r="L49" s="17">
        <f t="shared" ref="L49:L51" si="21">I49*(1+$B$9)</f>
        <v>1030</v>
      </c>
      <c r="M49" s="27">
        <f t="shared" ref="M49:M51" si="22">ROUND((+K49*L49),0)</f>
        <v>0</v>
      </c>
      <c r="N49" s="57"/>
      <c r="O49" s="17">
        <f t="shared" ref="O49:O51" si="23">L49*(1+$B$9)</f>
        <v>1060.9000000000001</v>
      </c>
      <c r="P49" s="27">
        <f t="shared" ref="P49:P51" si="24">ROUND((+N49*O49),0)</f>
        <v>0</v>
      </c>
      <c r="Q49" s="53">
        <f t="shared" ref="Q49:Q51" si="25">E49+H49+K49+N49</f>
        <v>1</v>
      </c>
      <c r="R49" s="19">
        <f>G49+J49+M49+P49</f>
        <v>1000</v>
      </c>
      <c r="S49" s="76"/>
    </row>
    <row r="50" spans="1:21" x14ac:dyDescent="0.25">
      <c r="A50" s="30" t="s">
        <v>144</v>
      </c>
      <c r="B50" s="10"/>
      <c r="C50" s="10"/>
      <c r="D50" s="112" t="s">
        <v>145</v>
      </c>
      <c r="E50" s="57">
        <v>10</v>
      </c>
      <c r="F50" s="17">
        <v>250</v>
      </c>
      <c r="G50" s="27">
        <f t="shared" si="18"/>
        <v>2500</v>
      </c>
      <c r="H50" s="56"/>
      <c r="I50" s="17">
        <f t="shared" si="19"/>
        <v>250</v>
      </c>
      <c r="J50" s="17">
        <f t="shared" si="20"/>
        <v>0</v>
      </c>
      <c r="K50" s="57"/>
      <c r="L50" s="17">
        <f t="shared" si="21"/>
        <v>257.5</v>
      </c>
      <c r="M50" s="27">
        <f t="shared" si="22"/>
        <v>0</v>
      </c>
      <c r="N50" s="57"/>
      <c r="O50" s="17">
        <f t="shared" si="23"/>
        <v>265.22500000000002</v>
      </c>
      <c r="P50" s="27">
        <f t="shared" si="24"/>
        <v>0</v>
      </c>
      <c r="Q50" s="53">
        <f t="shared" si="25"/>
        <v>10</v>
      </c>
      <c r="R50" s="19">
        <f>G50+J50+M50+P50</f>
        <v>2500</v>
      </c>
      <c r="S50" s="75"/>
      <c r="T50" s="3"/>
      <c r="U50" s="1"/>
    </row>
    <row r="51" spans="1:21" x14ac:dyDescent="0.25">
      <c r="A51" s="30" t="s">
        <v>146</v>
      </c>
      <c r="B51" s="10"/>
      <c r="C51" s="10"/>
      <c r="D51" s="112" t="s">
        <v>147</v>
      </c>
      <c r="E51" s="57">
        <v>1</v>
      </c>
      <c r="F51" s="17">
        <v>200</v>
      </c>
      <c r="G51" s="27">
        <f t="shared" si="18"/>
        <v>200</v>
      </c>
      <c r="H51" s="56"/>
      <c r="I51" s="17">
        <f t="shared" si="19"/>
        <v>200</v>
      </c>
      <c r="J51" s="17">
        <f t="shared" si="20"/>
        <v>0</v>
      </c>
      <c r="K51" s="57"/>
      <c r="L51" s="17">
        <f t="shared" si="21"/>
        <v>206</v>
      </c>
      <c r="M51" s="27">
        <f t="shared" si="22"/>
        <v>0</v>
      </c>
      <c r="N51" s="57"/>
      <c r="O51" s="17">
        <f t="shared" si="23"/>
        <v>212.18</v>
      </c>
      <c r="P51" s="27">
        <f t="shared" si="24"/>
        <v>0</v>
      </c>
      <c r="Q51" s="53">
        <f t="shared" si="25"/>
        <v>1</v>
      </c>
      <c r="R51" s="19">
        <f>G51+J51+M51+P51</f>
        <v>200</v>
      </c>
      <c r="S51" s="75"/>
      <c r="T51" s="3"/>
      <c r="U51" s="1"/>
    </row>
    <row r="52" spans="1:21" ht="18.75" x14ac:dyDescent="0.25">
      <c r="A52" s="26" t="s">
        <v>148</v>
      </c>
      <c r="B52" s="16"/>
      <c r="C52" s="10"/>
      <c r="D52" s="112"/>
      <c r="E52" s="57"/>
      <c r="F52" s="17"/>
      <c r="G52" s="27"/>
      <c r="H52" s="56"/>
      <c r="I52" s="17"/>
      <c r="J52" s="17"/>
      <c r="K52" s="57"/>
      <c r="L52" s="17"/>
      <c r="M52" s="27"/>
      <c r="N52" s="57"/>
      <c r="O52" s="17"/>
      <c r="P52" s="27"/>
      <c r="Q52" s="53"/>
      <c r="R52" s="19"/>
      <c r="S52" s="76"/>
    </row>
    <row r="53" spans="1:21" x14ac:dyDescent="0.25">
      <c r="A53" s="30" t="s">
        <v>149</v>
      </c>
      <c r="B53" s="16"/>
      <c r="C53" s="10"/>
      <c r="D53" s="112" t="s">
        <v>150</v>
      </c>
      <c r="E53" s="57"/>
      <c r="F53" s="17">
        <v>1000</v>
      </c>
      <c r="G53" s="27">
        <f t="shared" ref="G53:G59" si="26">ROUND((+E53*F53),0)</f>
        <v>0</v>
      </c>
      <c r="H53" s="56"/>
      <c r="I53" s="17">
        <f t="shared" ref="I53:I55" si="27">F53</f>
        <v>1000</v>
      </c>
      <c r="J53" s="17">
        <f t="shared" ref="J53:J55" si="28">ROUND((+H53*I53),0)</f>
        <v>0</v>
      </c>
      <c r="K53" s="57"/>
      <c r="L53" s="17">
        <f t="shared" ref="L53:L55" si="29">I53*(1+$B$9)</f>
        <v>1030</v>
      </c>
      <c r="M53" s="27">
        <f t="shared" ref="M53:M55" si="30">ROUND((+K53*L53),0)</f>
        <v>0</v>
      </c>
      <c r="N53" s="57">
        <v>1</v>
      </c>
      <c r="O53" s="17">
        <f t="shared" ref="O53:O55" si="31">L53*(1+$B$9)</f>
        <v>1060.9000000000001</v>
      </c>
      <c r="P53" s="27">
        <f t="shared" ref="P53:P55" si="32">ROUND((+N53*O53),0)</f>
        <v>1061</v>
      </c>
      <c r="Q53" s="53">
        <f t="shared" ref="Q53:Q55" si="33">E53+H53+K53+N53</f>
        <v>1</v>
      </c>
      <c r="R53" s="19">
        <f>G53+J53+M53+P53</f>
        <v>1061</v>
      </c>
      <c r="S53" s="76"/>
    </row>
    <row r="54" spans="1:21" x14ac:dyDescent="0.25">
      <c r="A54" s="30" t="s">
        <v>151</v>
      </c>
      <c r="B54" s="10"/>
      <c r="C54" s="10"/>
      <c r="D54" s="112" t="s">
        <v>152</v>
      </c>
      <c r="E54" s="57"/>
      <c r="F54" s="17">
        <v>250</v>
      </c>
      <c r="G54" s="27">
        <f t="shared" si="26"/>
        <v>0</v>
      </c>
      <c r="H54" s="56"/>
      <c r="I54" s="17">
        <f t="shared" si="27"/>
        <v>250</v>
      </c>
      <c r="J54" s="17">
        <f t="shared" si="28"/>
        <v>0</v>
      </c>
      <c r="K54" s="57"/>
      <c r="L54" s="17">
        <f t="shared" si="29"/>
        <v>257.5</v>
      </c>
      <c r="M54" s="27">
        <f t="shared" si="30"/>
        <v>0</v>
      </c>
      <c r="N54" s="57">
        <v>3</v>
      </c>
      <c r="O54" s="17">
        <f t="shared" si="31"/>
        <v>265.22500000000002</v>
      </c>
      <c r="P54" s="27">
        <f t="shared" si="32"/>
        <v>796</v>
      </c>
      <c r="Q54" s="53">
        <f t="shared" si="33"/>
        <v>3</v>
      </c>
      <c r="R54" s="19">
        <f>G54+J54+M54+P54</f>
        <v>796</v>
      </c>
      <c r="S54" s="75"/>
      <c r="T54" s="3"/>
      <c r="U54" s="1"/>
    </row>
    <row r="55" spans="1:21" x14ac:dyDescent="0.25">
      <c r="A55" s="30" t="s">
        <v>153</v>
      </c>
      <c r="B55" s="10"/>
      <c r="C55" s="10"/>
      <c r="D55" s="112" t="s">
        <v>154</v>
      </c>
      <c r="E55" s="57"/>
      <c r="F55" s="17">
        <v>200</v>
      </c>
      <c r="G55" s="27">
        <f t="shared" si="26"/>
        <v>0</v>
      </c>
      <c r="H55" s="56"/>
      <c r="I55" s="17">
        <f t="shared" si="27"/>
        <v>200</v>
      </c>
      <c r="J55" s="17">
        <f t="shared" si="28"/>
        <v>0</v>
      </c>
      <c r="K55" s="57"/>
      <c r="L55" s="17">
        <f t="shared" si="29"/>
        <v>206</v>
      </c>
      <c r="M55" s="27">
        <f t="shared" si="30"/>
        <v>0</v>
      </c>
      <c r="N55" s="57">
        <v>1</v>
      </c>
      <c r="O55" s="17">
        <f t="shared" si="31"/>
        <v>212.18</v>
      </c>
      <c r="P55" s="27">
        <f t="shared" si="32"/>
        <v>212</v>
      </c>
      <c r="Q55" s="53">
        <f t="shared" si="33"/>
        <v>1</v>
      </c>
      <c r="R55" s="19">
        <f>G55+J55+M55+P55</f>
        <v>212</v>
      </c>
      <c r="S55" s="75"/>
      <c r="T55" s="3"/>
      <c r="U55" s="1"/>
    </row>
    <row r="56" spans="1:21" x14ac:dyDescent="0.25">
      <c r="A56" s="173" t="s">
        <v>155</v>
      </c>
      <c r="B56" s="10"/>
      <c r="C56" s="10"/>
      <c r="D56" s="112"/>
      <c r="E56" s="57"/>
      <c r="F56" s="17"/>
      <c r="G56" s="27"/>
      <c r="H56" s="56"/>
      <c r="I56" s="17"/>
      <c r="J56" s="17"/>
      <c r="K56" s="57"/>
      <c r="L56" s="17"/>
      <c r="M56" s="27"/>
      <c r="N56" s="57"/>
      <c r="O56" s="17"/>
      <c r="P56" s="27"/>
      <c r="Q56" s="53"/>
      <c r="R56" s="19"/>
      <c r="S56" s="75"/>
      <c r="T56" s="3"/>
      <c r="U56" s="1"/>
    </row>
    <row r="57" spans="1:21" s="39" customFormat="1" x14ac:dyDescent="0.25">
      <c r="A57" s="174" t="s">
        <v>156</v>
      </c>
      <c r="B57" s="162"/>
      <c r="C57" s="162"/>
      <c r="D57" s="163" t="s">
        <v>157</v>
      </c>
      <c r="E57" s="66">
        <v>1</v>
      </c>
      <c r="F57" s="36">
        <v>1000</v>
      </c>
      <c r="G57" s="47">
        <f t="shared" ref="G57" si="34">ROUND((+E57*F57),0)</f>
        <v>1000</v>
      </c>
      <c r="H57" s="62">
        <v>1</v>
      </c>
      <c r="I57" s="36">
        <f t="shared" ref="I57:I59" si="35">F57</f>
        <v>1000</v>
      </c>
      <c r="J57" s="36">
        <f t="shared" ref="J57:J59" si="36">ROUND((+H57*I57),0)</f>
        <v>1000</v>
      </c>
      <c r="K57" s="66">
        <v>1</v>
      </c>
      <c r="L57" s="36">
        <f t="shared" ref="L57:L59" si="37">I57*(1+$B$9)</f>
        <v>1030</v>
      </c>
      <c r="M57" s="47">
        <f t="shared" ref="M57:M59" si="38">ROUND((+K57*L57),0)</f>
        <v>1030</v>
      </c>
      <c r="N57" s="66">
        <v>1</v>
      </c>
      <c r="O57" s="36">
        <f t="shared" ref="O57:O59" si="39">L57*(1+$B$9)</f>
        <v>1060.9000000000001</v>
      </c>
      <c r="P57" s="47">
        <f t="shared" ref="P57:P59" si="40">ROUND((+N57*O57),0)</f>
        <v>1061</v>
      </c>
      <c r="Q57" s="122">
        <f t="shared" ref="Q57:Q59" si="41">E57+H57+K57+N57</f>
        <v>4</v>
      </c>
      <c r="R57" s="32">
        <f>G57+J57+M57+P57</f>
        <v>4091</v>
      </c>
      <c r="S57" s="77"/>
      <c r="T57" s="164"/>
      <c r="U57" s="165"/>
    </row>
    <row r="58" spans="1:21" s="39" customFormat="1" x14ac:dyDescent="0.25">
      <c r="A58" s="174" t="s">
        <v>158</v>
      </c>
      <c r="B58" s="162"/>
      <c r="C58" s="162"/>
      <c r="D58" s="163" t="s">
        <v>159</v>
      </c>
      <c r="E58" s="66">
        <v>7</v>
      </c>
      <c r="F58" s="36">
        <v>250</v>
      </c>
      <c r="G58" s="47">
        <f t="shared" si="26"/>
        <v>1750</v>
      </c>
      <c r="H58" s="62">
        <v>7</v>
      </c>
      <c r="I58" s="36">
        <f t="shared" si="35"/>
        <v>250</v>
      </c>
      <c r="J58" s="36">
        <f t="shared" si="36"/>
        <v>1750</v>
      </c>
      <c r="K58" s="66">
        <v>7</v>
      </c>
      <c r="L58" s="36">
        <f t="shared" si="37"/>
        <v>257.5</v>
      </c>
      <c r="M58" s="47">
        <f t="shared" si="38"/>
        <v>1803</v>
      </c>
      <c r="N58" s="66">
        <v>7</v>
      </c>
      <c r="O58" s="36">
        <f t="shared" si="39"/>
        <v>265.22500000000002</v>
      </c>
      <c r="P58" s="47">
        <f t="shared" si="40"/>
        <v>1857</v>
      </c>
      <c r="Q58" s="122">
        <f t="shared" si="41"/>
        <v>28</v>
      </c>
      <c r="R58" s="32">
        <f>G58+J58+M58+P58</f>
        <v>7160</v>
      </c>
      <c r="S58" s="77"/>
      <c r="T58" s="164"/>
      <c r="U58" s="165"/>
    </row>
    <row r="59" spans="1:21" s="39" customFormat="1" x14ac:dyDescent="0.25">
      <c r="A59" s="174" t="s">
        <v>160</v>
      </c>
      <c r="B59" s="162"/>
      <c r="C59" s="162"/>
      <c r="D59" s="163" t="s">
        <v>161</v>
      </c>
      <c r="E59" s="66">
        <v>1</v>
      </c>
      <c r="F59" s="36">
        <v>200</v>
      </c>
      <c r="G59" s="47">
        <f t="shared" si="26"/>
        <v>200</v>
      </c>
      <c r="H59" s="62">
        <v>1</v>
      </c>
      <c r="I59" s="36">
        <f t="shared" si="35"/>
        <v>200</v>
      </c>
      <c r="J59" s="36">
        <f t="shared" si="36"/>
        <v>200</v>
      </c>
      <c r="K59" s="66">
        <v>1</v>
      </c>
      <c r="L59" s="36">
        <f t="shared" si="37"/>
        <v>206</v>
      </c>
      <c r="M59" s="47">
        <f t="shared" si="38"/>
        <v>206</v>
      </c>
      <c r="N59" s="66">
        <v>1</v>
      </c>
      <c r="O59" s="36">
        <f t="shared" si="39"/>
        <v>212.18</v>
      </c>
      <c r="P59" s="47">
        <f t="shared" si="40"/>
        <v>212</v>
      </c>
      <c r="Q59" s="122">
        <f t="shared" si="41"/>
        <v>4</v>
      </c>
      <c r="R59" s="32">
        <f>G59+J59+M59+P59</f>
        <v>818</v>
      </c>
      <c r="S59" s="77"/>
      <c r="T59" s="164"/>
      <c r="U59" s="165"/>
    </row>
    <row r="60" spans="1:21" x14ac:dyDescent="0.25">
      <c r="A60" s="74"/>
      <c r="B60" s="10"/>
      <c r="C60" s="10"/>
      <c r="D60" s="112"/>
      <c r="E60" s="57"/>
      <c r="F60" s="17"/>
      <c r="G60" s="27"/>
      <c r="H60" s="56"/>
      <c r="I60" s="17"/>
      <c r="J60" s="17"/>
      <c r="K60" s="57"/>
      <c r="L60" s="17"/>
      <c r="M60" s="27"/>
      <c r="N60" s="57"/>
      <c r="O60" s="17"/>
      <c r="P60" s="27"/>
      <c r="Q60" s="53"/>
      <c r="R60" s="19"/>
      <c r="S60" s="73"/>
    </row>
    <row r="61" spans="1:21" s="20" customFormat="1" x14ac:dyDescent="0.25">
      <c r="A61" s="172" t="s">
        <v>162</v>
      </c>
      <c r="B61" s="18"/>
      <c r="C61" s="18"/>
      <c r="D61" s="115"/>
      <c r="E61" s="83"/>
      <c r="F61" s="19"/>
      <c r="G61" s="96">
        <f>SUM(G46:G60)</f>
        <v>6650</v>
      </c>
      <c r="H61" s="58"/>
      <c r="I61" s="19"/>
      <c r="J61" s="19">
        <f>SUM(J46:J60)</f>
        <v>2950</v>
      </c>
      <c r="K61" s="83"/>
      <c r="L61" s="19"/>
      <c r="M61" s="96">
        <f>SUM(M46:M60)</f>
        <v>3039</v>
      </c>
      <c r="N61" s="83"/>
      <c r="O61" s="19"/>
      <c r="P61" s="96">
        <f>SUM(P46:P60)</f>
        <v>5199</v>
      </c>
      <c r="Q61" s="18"/>
      <c r="R61" s="19">
        <f>SUM(R46:R60)</f>
        <v>17838</v>
      </c>
      <c r="S61" s="75"/>
    </row>
    <row r="62" spans="1:21" x14ac:dyDescent="0.25">
      <c r="A62" s="74"/>
      <c r="B62" s="10"/>
      <c r="C62" s="10"/>
      <c r="D62" s="112"/>
      <c r="E62" s="57"/>
      <c r="F62" s="17"/>
      <c r="G62" s="100"/>
      <c r="H62" s="56"/>
      <c r="I62" s="17"/>
      <c r="J62" s="17"/>
      <c r="K62" s="57"/>
      <c r="L62" s="17"/>
      <c r="M62" s="27"/>
      <c r="N62" s="57"/>
      <c r="O62" s="17"/>
      <c r="P62" s="27"/>
      <c r="Q62" s="18"/>
      <c r="R62" s="71"/>
      <c r="S62" s="73"/>
    </row>
    <row r="63" spans="1:21" x14ac:dyDescent="0.25">
      <c r="A63" s="38" t="s">
        <v>163</v>
      </c>
      <c r="B63" s="10"/>
      <c r="C63" s="10"/>
      <c r="D63" s="112"/>
      <c r="E63" s="57"/>
      <c r="F63" s="17"/>
      <c r="G63" s="27"/>
      <c r="H63" s="56"/>
      <c r="I63" s="17"/>
      <c r="J63" s="17"/>
      <c r="K63" s="57"/>
      <c r="L63" s="17"/>
      <c r="M63" s="27"/>
      <c r="N63" s="57"/>
      <c r="O63" s="17"/>
      <c r="P63" s="27"/>
      <c r="Q63" s="29" t="s">
        <v>164</v>
      </c>
      <c r="R63" s="19"/>
      <c r="S63" s="73"/>
    </row>
    <row r="64" spans="1:21" x14ac:dyDescent="0.25">
      <c r="A64" s="173" t="s">
        <v>165</v>
      </c>
      <c r="B64" s="10"/>
      <c r="C64" s="10"/>
      <c r="D64" s="112"/>
      <c r="E64" s="57"/>
      <c r="F64" s="17"/>
      <c r="G64" s="27"/>
      <c r="H64" s="56"/>
      <c r="I64" s="17"/>
      <c r="J64" s="17"/>
      <c r="K64" s="57"/>
      <c r="L64" s="17"/>
      <c r="M64" s="27"/>
      <c r="N64" s="57"/>
      <c r="O64" s="17"/>
      <c r="P64" s="27"/>
      <c r="Q64" s="29"/>
      <c r="R64" s="19"/>
      <c r="S64" s="73"/>
    </row>
    <row r="65" spans="1:21" x14ac:dyDescent="0.25">
      <c r="A65" s="26" t="s">
        <v>166</v>
      </c>
      <c r="B65" s="10"/>
      <c r="C65" s="10"/>
      <c r="D65" s="112"/>
      <c r="E65" s="57"/>
      <c r="F65" s="17"/>
      <c r="G65" s="27"/>
      <c r="H65" s="56"/>
      <c r="I65" s="17"/>
      <c r="J65" s="17"/>
      <c r="K65" s="57"/>
      <c r="L65" s="17"/>
      <c r="M65" s="27"/>
      <c r="N65" s="57"/>
      <c r="O65" s="17"/>
      <c r="P65" s="27"/>
      <c r="Q65" s="29"/>
      <c r="R65" s="19"/>
      <c r="S65" s="73"/>
    </row>
    <row r="66" spans="1:21" x14ac:dyDescent="0.25">
      <c r="A66" s="30" t="s">
        <v>167</v>
      </c>
      <c r="B66" s="10"/>
      <c r="C66" s="10"/>
      <c r="D66" s="112" t="s">
        <v>168</v>
      </c>
      <c r="E66" s="57">
        <v>10</v>
      </c>
      <c r="F66" s="17">
        <v>50</v>
      </c>
      <c r="G66" s="27">
        <f t="shared" ref="G66" si="42">ROUND((+E66*F66),0)</f>
        <v>500</v>
      </c>
      <c r="H66" s="56"/>
      <c r="I66" s="17">
        <f>F66</f>
        <v>50</v>
      </c>
      <c r="J66" s="17">
        <f>ROUND((+H66*I66),0)</f>
        <v>0</v>
      </c>
      <c r="K66" s="57"/>
      <c r="L66" s="17">
        <f>I66*(1+$B$9)</f>
        <v>51.5</v>
      </c>
      <c r="M66" s="27">
        <f>ROUND((+K66*L66),0)</f>
        <v>0</v>
      </c>
      <c r="N66" s="57"/>
      <c r="O66" s="17">
        <f>L66*(1+$B$9)</f>
        <v>53.045000000000002</v>
      </c>
      <c r="P66" s="27">
        <f>ROUND((+N66*O66),0)</f>
        <v>0</v>
      </c>
      <c r="Q66" s="53">
        <f>E66+H66+K66+N66</f>
        <v>10</v>
      </c>
      <c r="R66" s="19">
        <f>G66+J66+M66+P66</f>
        <v>500</v>
      </c>
      <c r="S66" s="73"/>
    </row>
    <row r="67" spans="1:21" ht="18.75" x14ac:dyDescent="0.25">
      <c r="A67" s="26" t="s">
        <v>169</v>
      </c>
      <c r="B67" s="10"/>
      <c r="C67" s="10"/>
      <c r="D67" s="112"/>
      <c r="E67" s="57"/>
      <c r="F67" s="17"/>
      <c r="G67" s="27"/>
      <c r="H67" s="56"/>
      <c r="I67" s="17"/>
      <c r="J67" s="17"/>
      <c r="K67" s="57"/>
      <c r="L67" s="17"/>
      <c r="M67" s="27"/>
      <c r="N67" s="57"/>
      <c r="O67" s="17"/>
      <c r="P67" s="27"/>
      <c r="Q67" s="53"/>
      <c r="R67" s="19"/>
      <c r="S67" s="73"/>
    </row>
    <row r="68" spans="1:21" x14ac:dyDescent="0.25">
      <c r="A68" s="30" t="s">
        <v>170</v>
      </c>
      <c r="B68" s="10"/>
      <c r="C68" s="10"/>
      <c r="D68" s="112" t="s">
        <v>171</v>
      </c>
      <c r="E68" s="57"/>
      <c r="F68" s="17">
        <v>50</v>
      </c>
      <c r="G68" s="27">
        <f t="shared" ref="G68" si="43">ROUND((+E68*F68),0)</f>
        <v>0</v>
      </c>
      <c r="H68" s="56"/>
      <c r="I68" s="17">
        <f>F68</f>
        <v>50</v>
      </c>
      <c r="J68" s="17">
        <f>ROUND((+H68*I68),0)</f>
        <v>0</v>
      </c>
      <c r="K68" s="57"/>
      <c r="L68" s="17">
        <f>I68*(1+$B$9)</f>
        <v>51.5</v>
      </c>
      <c r="M68" s="27">
        <f>ROUND((+K68*L68),0)</f>
        <v>0</v>
      </c>
      <c r="N68" s="57">
        <v>3</v>
      </c>
      <c r="O68" s="17">
        <f>L68*(1+$B$9)</f>
        <v>53.045000000000002</v>
      </c>
      <c r="P68" s="27">
        <f>ROUND((+N68*O68),0)</f>
        <v>159</v>
      </c>
      <c r="Q68" s="53">
        <f>E68+H68+K68+N68</f>
        <v>3</v>
      </c>
      <c r="R68" s="19">
        <f>G68+J68+M68+P68</f>
        <v>159</v>
      </c>
      <c r="S68" s="73"/>
    </row>
    <row r="69" spans="1:21" x14ac:dyDescent="0.25">
      <c r="A69" s="173" t="s">
        <v>172</v>
      </c>
      <c r="B69" s="10"/>
      <c r="C69" s="10"/>
      <c r="D69" s="112"/>
      <c r="E69" s="57"/>
      <c r="F69" s="17"/>
      <c r="G69" s="27"/>
      <c r="H69" s="56"/>
      <c r="I69" s="17"/>
      <c r="J69" s="17"/>
      <c r="K69" s="57"/>
      <c r="L69" s="17"/>
      <c r="M69" s="27"/>
      <c r="N69" s="57"/>
      <c r="O69" s="17"/>
      <c r="P69" s="27"/>
      <c r="Q69" s="53"/>
      <c r="R69" s="19"/>
      <c r="S69" s="73"/>
    </row>
    <row r="70" spans="1:21" x14ac:dyDescent="0.25">
      <c r="A70" s="30" t="s">
        <v>173</v>
      </c>
      <c r="B70" s="10"/>
      <c r="C70" s="10"/>
      <c r="D70" s="112" t="s">
        <v>174</v>
      </c>
      <c r="E70" s="57">
        <v>7</v>
      </c>
      <c r="F70" s="17">
        <v>50</v>
      </c>
      <c r="G70" s="27">
        <f t="shared" ref="G70" si="44">ROUND((+E70*F70),0)</f>
        <v>350</v>
      </c>
      <c r="H70" s="56">
        <v>7</v>
      </c>
      <c r="I70" s="17">
        <f>F70</f>
        <v>50</v>
      </c>
      <c r="J70" s="17">
        <f>ROUND((+H70*I70),0)</f>
        <v>350</v>
      </c>
      <c r="K70" s="57">
        <v>7</v>
      </c>
      <c r="L70" s="17">
        <f>I70*(1+$B$9)</f>
        <v>51.5</v>
      </c>
      <c r="M70" s="27">
        <f>ROUND((+K70*L70),0)</f>
        <v>361</v>
      </c>
      <c r="N70" s="57">
        <v>7</v>
      </c>
      <c r="O70" s="17">
        <f>L70*(1+$B$9)</f>
        <v>53.045000000000002</v>
      </c>
      <c r="P70" s="27">
        <f>ROUND((+N70*O70),0)</f>
        <v>371</v>
      </c>
      <c r="Q70" s="53">
        <f>E70+H70+K70+N70</f>
        <v>28</v>
      </c>
      <c r="R70" s="19">
        <f>G70+J70+M70+P70</f>
        <v>1432</v>
      </c>
      <c r="S70" s="73"/>
    </row>
    <row r="71" spans="1:21" x14ac:dyDescent="0.25">
      <c r="A71" s="173" t="s">
        <v>175</v>
      </c>
      <c r="B71" s="10"/>
      <c r="C71" s="10"/>
      <c r="D71" s="112"/>
      <c r="E71" s="57"/>
      <c r="F71" s="17"/>
      <c r="G71" s="27"/>
      <c r="H71" s="56"/>
      <c r="I71" s="17"/>
      <c r="J71" s="17"/>
      <c r="K71" s="57"/>
      <c r="L71" s="17"/>
      <c r="M71" s="27"/>
      <c r="N71" s="57"/>
      <c r="O71" s="17"/>
      <c r="P71" s="27"/>
      <c r="Q71" s="53"/>
      <c r="R71" s="19"/>
      <c r="S71" s="75"/>
      <c r="T71" s="3"/>
      <c r="U71" s="1"/>
    </row>
    <row r="72" spans="1:21" x14ac:dyDescent="0.25">
      <c r="A72" s="170" t="s">
        <v>176</v>
      </c>
      <c r="B72" s="10"/>
      <c r="C72" s="107" t="s">
        <v>177</v>
      </c>
      <c r="D72" s="114" t="s">
        <v>178</v>
      </c>
      <c r="E72" s="57">
        <f>$B$10*14</f>
        <v>28</v>
      </c>
      <c r="F72" s="17">
        <v>150</v>
      </c>
      <c r="G72" s="27">
        <f t="shared" ref="G72:G74" si="45">ROUND((+E72*F72),0)</f>
        <v>4200</v>
      </c>
      <c r="H72" s="56">
        <f>$B$10*14</f>
        <v>28</v>
      </c>
      <c r="I72" s="17">
        <f t="shared" ref="I72:I74" si="46">F72</f>
        <v>150</v>
      </c>
      <c r="J72" s="17">
        <f t="shared" ref="J72:J74" si="47">ROUND((+H72*I72),0)</f>
        <v>4200</v>
      </c>
      <c r="K72" s="57">
        <f>$B$10*14</f>
        <v>28</v>
      </c>
      <c r="L72" s="17">
        <f t="shared" ref="L72:L74" si="48">I72*(1+$B$9)</f>
        <v>154.5</v>
      </c>
      <c r="M72" s="27">
        <f t="shared" ref="M72:M74" si="49">ROUND((+K72*L72),0)</f>
        <v>4326</v>
      </c>
      <c r="N72" s="57">
        <f>$B$10*14</f>
        <v>28</v>
      </c>
      <c r="O72" s="17">
        <f t="shared" ref="O72:O74" si="50">L72*(1+$B$9)</f>
        <v>159.13499999999999</v>
      </c>
      <c r="P72" s="27">
        <f t="shared" ref="P72:P74" si="51">ROUND((+N72*O72),0)</f>
        <v>4456</v>
      </c>
      <c r="Q72" s="53">
        <f t="shared" ref="Q72" si="52">E72+H72+K72+N72</f>
        <v>112</v>
      </c>
      <c r="R72" s="19">
        <f>G72+J72+M72+P72</f>
        <v>17182</v>
      </c>
      <c r="S72" s="74"/>
      <c r="T72" s="3"/>
      <c r="U72" s="1"/>
    </row>
    <row r="73" spans="1:21" x14ac:dyDescent="0.25">
      <c r="A73" s="170" t="s">
        <v>179</v>
      </c>
      <c r="B73" s="107"/>
      <c r="C73" s="107" t="s">
        <v>180</v>
      </c>
      <c r="D73" s="114" t="s">
        <v>181</v>
      </c>
      <c r="E73" s="57">
        <f>$B$10*2</f>
        <v>4</v>
      </c>
      <c r="F73" s="17">
        <v>500</v>
      </c>
      <c r="G73" s="27">
        <f t="shared" si="45"/>
        <v>2000</v>
      </c>
      <c r="H73" s="56">
        <f>$B$10*2</f>
        <v>4</v>
      </c>
      <c r="I73" s="17">
        <f t="shared" si="46"/>
        <v>500</v>
      </c>
      <c r="J73" s="17">
        <f t="shared" si="47"/>
        <v>2000</v>
      </c>
      <c r="K73" s="57">
        <f>$B$10*2</f>
        <v>4</v>
      </c>
      <c r="L73" s="17">
        <f t="shared" si="48"/>
        <v>515</v>
      </c>
      <c r="M73" s="27">
        <f t="shared" si="49"/>
        <v>2060</v>
      </c>
      <c r="N73" s="57">
        <f>$B$10*2</f>
        <v>4</v>
      </c>
      <c r="O73" s="17">
        <f t="shared" si="50"/>
        <v>530.45000000000005</v>
      </c>
      <c r="P73" s="27">
        <f t="shared" si="51"/>
        <v>2122</v>
      </c>
      <c r="Q73" s="53">
        <f>E73+H73+K73+N73</f>
        <v>16</v>
      </c>
      <c r="R73" s="19">
        <f>G73+J73+M73+P73</f>
        <v>8182</v>
      </c>
      <c r="S73" s="73"/>
    </row>
    <row r="74" spans="1:21" x14ac:dyDescent="0.25">
      <c r="A74" s="170" t="s">
        <v>182</v>
      </c>
      <c r="B74" s="107"/>
      <c r="C74" s="107" t="s">
        <v>183</v>
      </c>
      <c r="D74" s="114" t="s">
        <v>184</v>
      </c>
      <c r="E74" s="57">
        <f>$B$10*14</f>
        <v>28</v>
      </c>
      <c r="F74" s="17">
        <v>50</v>
      </c>
      <c r="G74" s="27">
        <f t="shared" si="45"/>
        <v>1400</v>
      </c>
      <c r="H74" s="56">
        <f>$B$10*14</f>
        <v>28</v>
      </c>
      <c r="I74" s="17">
        <f t="shared" si="46"/>
        <v>50</v>
      </c>
      <c r="J74" s="17">
        <f t="shared" si="47"/>
        <v>1400</v>
      </c>
      <c r="K74" s="57">
        <f>$B$10*14</f>
        <v>28</v>
      </c>
      <c r="L74" s="17">
        <f t="shared" si="48"/>
        <v>51.5</v>
      </c>
      <c r="M74" s="27">
        <f t="shared" si="49"/>
        <v>1442</v>
      </c>
      <c r="N74" s="57">
        <f>$B$10*14</f>
        <v>28</v>
      </c>
      <c r="O74" s="17">
        <f t="shared" si="50"/>
        <v>53.045000000000002</v>
      </c>
      <c r="P74" s="27">
        <f t="shared" si="51"/>
        <v>1485</v>
      </c>
      <c r="Q74" s="53">
        <f>E74+H74+K74+N74</f>
        <v>112</v>
      </c>
      <c r="R74" s="19">
        <f>G74+J74+M74+P74</f>
        <v>5727</v>
      </c>
      <c r="S74" s="73"/>
    </row>
    <row r="75" spans="1:21" x14ac:dyDescent="0.25">
      <c r="A75" s="74"/>
      <c r="B75" s="10"/>
      <c r="C75" s="10"/>
      <c r="D75" s="112"/>
      <c r="E75" s="57"/>
      <c r="F75" s="17"/>
      <c r="G75" s="27"/>
      <c r="H75" s="56"/>
      <c r="I75" s="17"/>
      <c r="J75" s="17"/>
      <c r="K75" s="57"/>
      <c r="L75" s="17"/>
      <c r="M75" s="27"/>
      <c r="N75" s="57"/>
      <c r="O75" s="17"/>
      <c r="P75" s="27"/>
      <c r="Q75" s="29"/>
      <c r="R75" s="19"/>
      <c r="S75" s="73"/>
    </row>
    <row r="76" spans="1:21" s="20" customFormat="1" x14ac:dyDescent="0.25">
      <c r="A76" s="172" t="s">
        <v>185</v>
      </c>
      <c r="B76" s="18"/>
      <c r="C76" s="18"/>
      <c r="D76" s="115"/>
      <c r="E76" s="83"/>
      <c r="F76" s="19"/>
      <c r="G76" s="49">
        <f>SUM(G63:G75)</f>
        <v>8450</v>
      </c>
      <c r="H76" s="59"/>
      <c r="I76" s="32"/>
      <c r="J76" s="32">
        <f>SUM(J63:J75)</f>
        <v>7950</v>
      </c>
      <c r="K76" s="84"/>
      <c r="L76" s="32"/>
      <c r="M76" s="49">
        <f>SUM(M63:M75)</f>
        <v>8189</v>
      </c>
      <c r="N76" s="84"/>
      <c r="O76" s="32"/>
      <c r="P76" s="49">
        <f>SUM(P63:P75)</f>
        <v>8593</v>
      </c>
      <c r="Q76" s="33"/>
      <c r="R76" s="32">
        <f>SUM(R63:R75)</f>
        <v>33182</v>
      </c>
      <c r="S76" s="75"/>
    </row>
    <row r="77" spans="1:21" x14ac:dyDescent="0.25">
      <c r="A77" s="74"/>
      <c r="B77" s="10"/>
      <c r="C77" s="10"/>
      <c r="D77" s="112"/>
      <c r="E77" s="57"/>
      <c r="F77" s="17"/>
      <c r="G77" s="47"/>
      <c r="H77" s="62"/>
      <c r="I77" s="36"/>
      <c r="J77" s="36"/>
      <c r="K77" s="66"/>
      <c r="L77" s="36"/>
      <c r="M77" s="47"/>
      <c r="N77" s="66"/>
      <c r="O77" s="36"/>
      <c r="P77" s="47"/>
      <c r="Q77" s="33"/>
      <c r="R77" s="32"/>
      <c r="S77" s="73"/>
    </row>
    <row r="78" spans="1:21" ht="16.5" thickBot="1" x14ac:dyDescent="0.3">
      <c r="A78" s="48" t="s">
        <v>186</v>
      </c>
      <c r="B78" s="24"/>
      <c r="C78" s="24"/>
      <c r="D78" s="116"/>
      <c r="E78" s="93"/>
      <c r="F78" s="25"/>
      <c r="G78" s="97">
        <f>G61+G76</f>
        <v>15100</v>
      </c>
      <c r="H78" s="95"/>
      <c r="I78" s="43"/>
      <c r="J78" s="43">
        <f>+J61+J76</f>
        <v>10900</v>
      </c>
      <c r="K78" s="85"/>
      <c r="L78" s="43"/>
      <c r="M78" s="97">
        <f>+M61+M76</f>
        <v>11228</v>
      </c>
      <c r="N78" s="85"/>
      <c r="O78" s="43"/>
      <c r="P78" s="97">
        <f>+P61+P76</f>
        <v>13792</v>
      </c>
      <c r="Q78" s="155"/>
      <c r="R78" s="43">
        <f>+R61+R76</f>
        <v>51020</v>
      </c>
      <c r="S78" s="73"/>
    </row>
    <row r="79" spans="1:21" ht="16.5" thickTop="1" x14ac:dyDescent="0.25">
      <c r="A79" s="38"/>
      <c r="B79" s="18"/>
      <c r="C79" s="18"/>
      <c r="D79" s="115"/>
      <c r="E79" s="83"/>
      <c r="F79" s="19"/>
      <c r="G79" s="49"/>
      <c r="H79" s="60"/>
      <c r="I79" s="32"/>
      <c r="J79" s="32"/>
      <c r="K79" s="86"/>
      <c r="L79" s="32"/>
      <c r="M79" s="49"/>
      <c r="N79" s="86"/>
      <c r="O79" s="32"/>
      <c r="P79" s="49"/>
      <c r="Q79" s="33"/>
      <c r="R79" s="32"/>
      <c r="S79" s="73"/>
    </row>
    <row r="80" spans="1:21" x14ac:dyDescent="0.25">
      <c r="A80" s="38" t="s">
        <v>187</v>
      </c>
      <c r="B80" s="10"/>
      <c r="C80" s="10"/>
      <c r="D80" s="112"/>
      <c r="E80" s="90"/>
      <c r="F80" s="17"/>
      <c r="G80" s="47"/>
      <c r="H80" s="55"/>
      <c r="I80" s="36"/>
      <c r="J80" s="36"/>
      <c r="K80" s="87"/>
      <c r="L80" s="36"/>
      <c r="M80" s="47"/>
      <c r="N80" s="87"/>
      <c r="O80" s="36"/>
      <c r="P80" s="47"/>
      <c r="Q80" s="33"/>
      <c r="R80" s="32"/>
      <c r="S80" s="73"/>
    </row>
    <row r="81" spans="1:19" x14ac:dyDescent="0.25">
      <c r="A81" s="74"/>
      <c r="B81" s="10"/>
      <c r="C81" s="10"/>
      <c r="D81" s="112"/>
      <c r="E81" s="90">
        <v>0</v>
      </c>
      <c r="F81" s="17">
        <v>0</v>
      </c>
      <c r="G81" s="27">
        <f t="shared" ref="G81" si="53">ROUND((+E81*F81),0)</f>
        <v>0</v>
      </c>
      <c r="H81" s="55">
        <v>0</v>
      </c>
      <c r="I81" s="17">
        <f>F81</f>
        <v>0</v>
      </c>
      <c r="J81" s="17">
        <f>ROUND((+H81*I81),0)</f>
        <v>0</v>
      </c>
      <c r="K81" s="87">
        <v>0</v>
      </c>
      <c r="L81" s="17">
        <f>I81*(1+$B$9)</f>
        <v>0</v>
      </c>
      <c r="M81" s="27">
        <f>ROUND((+K81*L81),0)</f>
        <v>0</v>
      </c>
      <c r="N81" s="87">
        <v>0</v>
      </c>
      <c r="O81" s="17">
        <f>L81*(1+$B$9)</f>
        <v>0</v>
      </c>
      <c r="P81" s="27">
        <f>ROUND((+N81*O81),0)</f>
        <v>0</v>
      </c>
      <c r="Q81" s="53">
        <f>E81+H81+K81+N81</f>
        <v>0</v>
      </c>
      <c r="R81" s="32">
        <f>SUM(G81+J81+P81)</f>
        <v>0</v>
      </c>
      <c r="S81" s="73"/>
    </row>
    <row r="82" spans="1:19" x14ac:dyDescent="0.25">
      <c r="A82" s="38"/>
      <c r="B82" s="18"/>
      <c r="C82" s="18"/>
      <c r="D82" s="115"/>
      <c r="E82" s="83"/>
      <c r="F82" s="19"/>
      <c r="G82" s="98"/>
      <c r="H82" s="59"/>
      <c r="I82" s="32"/>
      <c r="J82" s="44"/>
      <c r="K82" s="84"/>
      <c r="L82" s="32"/>
      <c r="M82" s="98"/>
      <c r="N82" s="84"/>
      <c r="O82" s="32"/>
      <c r="P82" s="98"/>
      <c r="Q82" s="33"/>
      <c r="R82" s="32" t="s">
        <v>188</v>
      </c>
      <c r="S82" s="73"/>
    </row>
    <row r="83" spans="1:19" ht="16.5" thickBot="1" x14ac:dyDescent="0.3">
      <c r="A83" s="48" t="s">
        <v>189</v>
      </c>
      <c r="B83" s="24"/>
      <c r="C83" s="24"/>
      <c r="D83" s="116"/>
      <c r="E83" s="91"/>
      <c r="F83" s="25"/>
      <c r="G83" s="97">
        <f>SUM(G81:G81)</f>
        <v>0</v>
      </c>
      <c r="H83" s="61"/>
      <c r="I83" s="43"/>
      <c r="J83" s="43">
        <f>SUM(J81:J81)</f>
        <v>0</v>
      </c>
      <c r="K83" s="88"/>
      <c r="L83" s="43"/>
      <c r="M83" s="97">
        <f>SUM(M81:M81)</f>
        <v>0</v>
      </c>
      <c r="N83" s="88"/>
      <c r="O83" s="43"/>
      <c r="P83" s="97">
        <f>SUM(P81:P81)</f>
        <v>0</v>
      </c>
      <c r="Q83" s="45"/>
      <c r="R83" s="43">
        <f>R81</f>
        <v>0</v>
      </c>
      <c r="S83" s="73"/>
    </row>
    <row r="84" spans="1:19" ht="16.5" thickTop="1" x14ac:dyDescent="0.25">
      <c r="A84" s="74"/>
      <c r="B84" s="10"/>
      <c r="C84" s="10"/>
      <c r="D84" s="112"/>
      <c r="E84" s="90"/>
      <c r="F84" s="17"/>
      <c r="G84" s="47"/>
      <c r="H84" s="55"/>
      <c r="I84" s="36"/>
      <c r="J84" s="148"/>
      <c r="K84" s="87"/>
      <c r="L84" s="36"/>
      <c r="M84" s="99"/>
      <c r="N84" s="87"/>
      <c r="O84" s="36"/>
      <c r="P84" s="99"/>
      <c r="Q84" s="33"/>
      <c r="R84" s="32"/>
      <c r="S84" s="73"/>
    </row>
    <row r="85" spans="1:19" x14ac:dyDescent="0.25">
      <c r="A85" s="38" t="s">
        <v>190</v>
      </c>
      <c r="B85" s="10"/>
      <c r="C85" s="10"/>
      <c r="D85" s="112"/>
      <c r="E85" s="90"/>
      <c r="F85" s="17"/>
      <c r="G85" s="47"/>
      <c r="H85" s="55"/>
      <c r="I85" s="36"/>
      <c r="J85" s="36"/>
      <c r="K85" s="87"/>
      <c r="L85" s="36"/>
      <c r="M85" s="47"/>
      <c r="N85" s="87"/>
      <c r="O85" s="36"/>
      <c r="P85" s="47"/>
      <c r="Q85" s="33"/>
      <c r="R85" s="32"/>
      <c r="S85" s="73"/>
    </row>
    <row r="86" spans="1:19" x14ac:dyDescent="0.25">
      <c r="A86" s="38"/>
      <c r="B86" s="10"/>
      <c r="C86" s="10"/>
      <c r="D86" s="112"/>
      <c r="E86" s="90"/>
      <c r="F86" s="17"/>
      <c r="G86" s="47"/>
      <c r="H86" s="55"/>
      <c r="I86" s="36"/>
      <c r="J86" s="36"/>
      <c r="K86" s="87"/>
      <c r="L86" s="36"/>
      <c r="M86" s="47"/>
      <c r="N86" s="87"/>
      <c r="O86" s="36"/>
      <c r="P86" s="47"/>
      <c r="Q86" s="33"/>
      <c r="R86" s="32"/>
      <c r="S86" s="73"/>
    </row>
    <row r="87" spans="1:19" x14ac:dyDescent="0.25">
      <c r="A87" s="170" t="s">
        <v>191</v>
      </c>
      <c r="B87" s="107"/>
      <c r="C87" s="107" t="s">
        <v>192</v>
      </c>
      <c r="D87" s="114" t="s">
        <v>193</v>
      </c>
      <c r="E87" s="90">
        <f>$B$10*1</f>
        <v>2</v>
      </c>
      <c r="F87" s="17">
        <v>400</v>
      </c>
      <c r="G87" s="27">
        <f t="shared" ref="G87" si="54">ROUND((+E87*F87),0)</f>
        <v>800</v>
      </c>
      <c r="H87" s="55"/>
      <c r="I87" s="17">
        <f>F87</f>
        <v>400</v>
      </c>
      <c r="J87" s="17">
        <f>ROUND((+H87*I87),0)</f>
        <v>0</v>
      </c>
      <c r="K87" s="87"/>
      <c r="L87" s="17">
        <f>I87*(1+$B$9)</f>
        <v>412</v>
      </c>
      <c r="M87" s="27">
        <f>ROUND((+K87*L87),0)</f>
        <v>0</v>
      </c>
      <c r="N87" s="87"/>
      <c r="O87" s="17">
        <f>L87*(1+$B$9)</f>
        <v>424.36</v>
      </c>
      <c r="P87" s="27">
        <f>ROUND((+N87*O87),0)</f>
        <v>0</v>
      </c>
      <c r="Q87" s="53">
        <f>E87+H87+K87+N87</f>
        <v>2</v>
      </c>
      <c r="R87" s="19">
        <f>G87+J87+M87+P87</f>
        <v>800</v>
      </c>
      <c r="S87" s="73"/>
    </row>
    <row r="88" spans="1:19" x14ac:dyDescent="0.25">
      <c r="A88" s="30"/>
      <c r="B88" s="10"/>
      <c r="C88" s="10"/>
      <c r="D88" s="112"/>
      <c r="E88" s="90"/>
      <c r="F88" s="17"/>
      <c r="G88" s="47"/>
      <c r="H88" s="55"/>
      <c r="I88" s="36"/>
      <c r="J88" s="36"/>
      <c r="K88" s="87"/>
      <c r="L88" s="36"/>
      <c r="M88" s="47"/>
      <c r="N88" s="87"/>
      <c r="O88" s="36"/>
      <c r="P88" s="47"/>
      <c r="Q88" s="33"/>
      <c r="R88" s="32" t="s">
        <v>194</v>
      </c>
      <c r="S88" s="73"/>
    </row>
    <row r="89" spans="1:19" s="20" customFormat="1" ht="16.5" thickBot="1" x14ac:dyDescent="0.3">
      <c r="A89" s="48" t="s">
        <v>195</v>
      </c>
      <c r="B89" s="24"/>
      <c r="C89" s="24"/>
      <c r="D89" s="116"/>
      <c r="E89" s="91"/>
      <c r="F89" s="25"/>
      <c r="G89" s="97">
        <f>G87</f>
        <v>800</v>
      </c>
      <c r="H89" s="61"/>
      <c r="I89" s="43"/>
      <c r="J89" s="43">
        <f>J87</f>
        <v>0</v>
      </c>
      <c r="K89" s="88"/>
      <c r="L89" s="43"/>
      <c r="M89" s="97">
        <f>M87</f>
        <v>0</v>
      </c>
      <c r="N89" s="88"/>
      <c r="O89" s="43"/>
      <c r="P89" s="97">
        <f>P87</f>
        <v>0</v>
      </c>
      <c r="Q89" s="45"/>
      <c r="R89" s="43">
        <f>R87</f>
        <v>800</v>
      </c>
      <c r="S89" s="75"/>
    </row>
    <row r="90" spans="1:19" s="20" customFormat="1" ht="16.5" thickTop="1" x14ac:dyDescent="0.25">
      <c r="A90" s="38"/>
      <c r="B90" s="18"/>
      <c r="C90" s="18"/>
      <c r="D90" s="115"/>
      <c r="E90" s="89"/>
      <c r="F90" s="19"/>
      <c r="G90" s="146"/>
      <c r="H90" s="60"/>
      <c r="I90" s="32"/>
      <c r="J90" s="32"/>
      <c r="K90" s="86"/>
      <c r="L90" s="32"/>
      <c r="M90" s="49"/>
      <c r="N90" s="86"/>
      <c r="O90" s="32"/>
      <c r="P90" s="49"/>
      <c r="Q90" s="33"/>
      <c r="R90" s="32"/>
      <c r="S90" s="75"/>
    </row>
    <row r="91" spans="1:19" x14ac:dyDescent="0.25">
      <c r="A91" s="38" t="s">
        <v>196</v>
      </c>
      <c r="B91" s="18"/>
      <c r="C91" s="18"/>
      <c r="D91" s="115"/>
      <c r="E91" s="89"/>
      <c r="F91" s="19"/>
      <c r="G91" s="49"/>
      <c r="H91" s="60"/>
      <c r="I91" s="32"/>
      <c r="J91" s="32"/>
      <c r="K91" s="86"/>
      <c r="L91" s="32"/>
      <c r="M91" s="49"/>
      <c r="N91" s="86"/>
      <c r="O91" s="32"/>
      <c r="P91" s="49"/>
      <c r="Q91" s="33"/>
      <c r="R91" s="32"/>
      <c r="S91" s="73"/>
    </row>
    <row r="92" spans="1:19" x14ac:dyDescent="0.25">
      <c r="A92" s="38"/>
      <c r="B92" s="18"/>
      <c r="C92" s="18"/>
      <c r="D92" s="115"/>
      <c r="E92" s="89"/>
      <c r="F92" s="19"/>
      <c r="G92" s="49"/>
      <c r="H92" s="60"/>
      <c r="I92" s="32"/>
      <c r="J92" s="32"/>
      <c r="K92" s="86"/>
      <c r="L92" s="32"/>
      <c r="M92" s="49"/>
      <c r="N92" s="86"/>
      <c r="O92" s="32"/>
      <c r="P92" s="49"/>
      <c r="Q92" s="33"/>
      <c r="R92" s="32"/>
      <c r="S92" s="73"/>
    </row>
    <row r="93" spans="1:19" x14ac:dyDescent="0.25">
      <c r="A93" s="38" t="s">
        <v>197</v>
      </c>
      <c r="B93" s="10"/>
      <c r="C93" s="10"/>
      <c r="D93" s="112"/>
      <c r="E93" s="57"/>
      <c r="F93" s="17"/>
      <c r="G93" s="47"/>
      <c r="H93" s="62"/>
      <c r="I93" s="36"/>
      <c r="J93" s="36"/>
      <c r="K93" s="66"/>
      <c r="L93" s="36"/>
      <c r="M93" s="47"/>
      <c r="N93" s="66"/>
      <c r="O93" s="36"/>
      <c r="P93" s="47"/>
      <c r="Q93" s="156"/>
      <c r="R93" s="32"/>
      <c r="S93" s="73"/>
    </row>
    <row r="94" spans="1:19" x14ac:dyDescent="0.25">
      <c r="A94" s="175" t="s">
        <v>198</v>
      </c>
      <c r="B94" s="10"/>
      <c r="C94" s="10"/>
      <c r="D94" s="112"/>
      <c r="E94" s="57"/>
      <c r="F94" s="17"/>
      <c r="G94" s="47"/>
      <c r="H94" s="62"/>
      <c r="I94" s="36"/>
      <c r="J94" s="36"/>
      <c r="K94" s="66"/>
      <c r="L94" s="36"/>
      <c r="M94" s="47"/>
      <c r="N94" s="66"/>
      <c r="O94" s="36"/>
      <c r="P94" s="47"/>
      <c r="Q94" s="156"/>
      <c r="R94" s="32"/>
      <c r="S94" s="73"/>
    </row>
    <row r="95" spans="1:19" x14ac:dyDescent="0.25">
      <c r="A95" s="30" t="s">
        <v>199</v>
      </c>
      <c r="B95" s="10"/>
      <c r="C95" s="10"/>
      <c r="D95" s="112" t="s">
        <v>200</v>
      </c>
      <c r="E95" s="57">
        <v>11</v>
      </c>
      <c r="F95" s="17">
        <v>550</v>
      </c>
      <c r="G95" s="27">
        <f t="shared" ref="G95" si="55">ROUND((+E95*F95),0)</f>
        <v>6050</v>
      </c>
      <c r="H95" s="62">
        <v>3</v>
      </c>
      <c r="I95" s="17">
        <f>F95</f>
        <v>550</v>
      </c>
      <c r="J95" s="17">
        <f>ROUND((+H95*I95),0)</f>
        <v>1650</v>
      </c>
      <c r="K95" s="66">
        <v>3</v>
      </c>
      <c r="L95" s="17">
        <f>I95*(1+$B$9)</f>
        <v>566.5</v>
      </c>
      <c r="M95" s="27">
        <f>ROUND((+K95*L95),0)</f>
        <v>1700</v>
      </c>
      <c r="N95" s="66">
        <v>3</v>
      </c>
      <c r="O95" s="17">
        <f>L95*(1+$B$9)</f>
        <v>583.495</v>
      </c>
      <c r="P95" s="27">
        <f>ROUND((+N95*O95),0)</f>
        <v>1750</v>
      </c>
      <c r="Q95" s="53">
        <f t="shared" ref="Q95" si="56">E95+H95+K95+N95</f>
        <v>20</v>
      </c>
      <c r="R95" s="19">
        <f>G95+J95+M95+P95</f>
        <v>11150</v>
      </c>
      <c r="S95" s="73"/>
    </row>
    <row r="96" spans="1:19" x14ac:dyDescent="0.25">
      <c r="A96" s="175" t="s">
        <v>201</v>
      </c>
      <c r="B96" s="16"/>
      <c r="C96" s="10"/>
      <c r="D96" s="112"/>
      <c r="E96" s="57"/>
      <c r="F96" s="17"/>
      <c r="G96" s="47"/>
      <c r="H96" s="62"/>
      <c r="I96" s="36"/>
      <c r="J96" s="36"/>
      <c r="K96" s="66"/>
      <c r="L96" s="36"/>
      <c r="M96" s="47"/>
      <c r="N96" s="66"/>
      <c r="O96" s="36"/>
      <c r="P96" s="47"/>
      <c r="Q96" s="53"/>
      <c r="R96" s="32"/>
      <c r="S96" s="73"/>
    </row>
    <row r="97" spans="1:53" x14ac:dyDescent="0.25">
      <c r="A97" s="30" t="s">
        <v>202</v>
      </c>
      <c r="B97" s="10"/>
      <c r="C97" s="10"/>
      <c r="D97" s="112" t="s">
        <v>203</v>
      </c>
      <c r="E97" s="57">
        <v>7</v>
      </c>
      <c r="F97" s="17">
        <v>550</v>
      </c>
      <c r="G97" s="27">
        <f t="shared" ref="G97" si="57">ROUND((+E97*F97),0)</f>
        <v>3850</v>
      </c>
      <c r="H97" s="62">
        <v>7</v>
      </c>
      <c r="I97" s="17">
        <f>F97</f>
        <v>550</v>
      </c>
      <c r="J97" s="17">
        <f>ROUND((+H97*I97),0)</f>
        <v>3850</v>
      </c>
      <c r="K97" s="66">
        <v>7</v>
      </c>
      <c r="L97" s="17">
        <f>I97*(1+$B$9)</f>
        <v>566.5</v>
      </c>
      <c r="M97" s="27">
        <f>ROUND((+K97*L97),0)</f>
        <v>3966</v>
      </c>
      <c r="N97" s="66">
        <v>7</v>
      </c>
      <c r="O97" s="17">
        <f>L97*(1+$B$9)</f>
        <v>583.495</v>
      </c>
      <c r="P97" s="27">
        <f>ROUND((+N97*O97),0)</f>
        <v>4084</v>
      </c>
      <c r="Q97" s="53">
        <f>E97+H97+K97+N97</f>
        <v>28</v>
      </c>
      <c r="R97" s="19">
        <f>G97+J97+M97+P97</f>
        <v>15750</v>
      </c>
      <c r="S97" s="73"/>
    </row>
    <row r="98" spans="1:53" x14ac:dyDescent="0.25">
      <c r="A98" s="30"/>
      <c r="B98" s="10"/>
      <c r="C98" s="10"/>
      <c r="D98" s="112"/>
      <c r="E98" s="57"/>
      <c r="F98" s="17"/>
      <c r="G98" s="47"/>
      <c r="H98" s="62"/>
      <c r="I98" s="36"/>
      <c r="J98" s="36"/>
      <c r="K98" s="66"/>
      <c r="L98" s="36"/>
      <c r="M98" s="47"/>
      <c r="N98" s="66"/>
      <c r="O98" s="36"/>
      <c r="P98" s="47"/>
      <c r="Q98" s="42"/>
      <c r="R98" s="32"/>
      <c r="S98" s="73"/>
    </row>
    <row r="99" spans="1:53" s="20" customFormat="1" x14ac:dyDescent="0.25">
      <c r="A99" s="38" t="s">
        <v>204</v>
      </c>
      <c r="B99" s="28"/>
      <c r="C99" s="18"/>
      <c r="D99" s="115"/>
      <c r="E99" s="83">
        <f>SUM(E95:E98)</f>
        <v>18</v>
      </c>
      <c r="F99" s="19"/>
      <c r="G99" s="49">
        <f>SUM(G94:G98)</f>
        <v>9900</v>
      </c>
      <c r="H99" s="58">
        <f>SUM(H95:H98)</f>
        <v>10</v>
      </c>
      <c r="I99" s="32" t="s">
        <v>205</v>
      </c>
      <c r="J99" s="32">
        <f>SUM(J94:J98)</f>
        <v>5500</v>
      </c>
      <c r="K99" s="83">
        <f>SUM(K95:K98)</f>
        <v>10</v>
      </c>
      <c r="L99" s="32" t="s">
        <v>206</v>
      </c>
      <c r="M99" s="49">
        <f>SUM(M94:M98)</f>
        <v>5666</v>
      </c>
      <c r="N99" s="83">
        <f>SUM(N95:N98)</f>
        <v>10</v>
      </c>
      <c r="O99" s="32" t="s">
        <v>207</v>
      </c>
      <c r="P99" s="49">
        <f>SUM(P94:P98)</f>
        <v>5834</v>
      </c>
      <c r="Q99" s="123">
        <f>E99+H99+K99+N99</f>
        <v>48</v>
      </c>
      <c r="R99" s="32">
        <f>SUM(R94:R98)</f>
        <v>26900</v>
      </c>
      <c r="S99" s="75"/>
    </row>
    <row r="100" spans="1:53" x14ac:dyDescent="0.25">
      <c r="A100" s="74" t="s">
        <v>208</v>
      </c>
      <c r="B100" s="16"/>
      <c r="C100" s="10"/>
      <c r="D100" s="112"/>
      <c r="E100" s="57" t="s">
        <v>209</v>
      </c>
      <c r="F100" s="17" t="s">
        <v>210</v>
      </c>
      <c r="G100" s="47" t="s">
        <v>211</v>
      </c>
      <c r="H100" s="62" t="s">
        <v>212</v>
      </c>
      <c r="I100" s="36" t="s">
        <v>213</v>
      </c>
      <c r="J100" s="36" t="s">
        <v>214</v>
      </c>
      <c r="K100" s="66" t="s">
        <v>215</v>
      </c>
      <c r="L100" s="36" t="s">
        <v>216</v>
      </c>
      <c r="M100" s="47" t="s">
        <v>217</v>
      </c>
      <c r="N100" s="66" t="s">
        <v>218</v>
      </c>
      <c r="O100" s="36" t="s">
        <v>219</v>
      </c>
      <c r="P100" s="47" t="s">
        <v>220</v>
      </c>
      <c r="Q100" s="157" t="s">
        <v>221</v>
      </c>
      <c r="R100" s="32" t="s">
        <v>222</v>
      </c>
      <c r="S100" s="73"/>
    </row>
    <row r="101" spans="1:53" x14ac:dyDescent="0.25">
      <c r="A101" s="160" t="s">
        <v>223</v>
      </c>
      <c r="B101" s="10"/>
      <c r="C101" s="10"/>
      <c r="D101" s="112"/>
      <c r="E101" s="57" t="s">
        <v>224</v>
      </c>
      <c r="F101" s="17" t="s">
        <v>225</v>
      </c>
      <c r="G101" s="47" t="s">
        <v>226</v>
      </c>
      <c r="H101" s="62" t="s">
        <v>227</v>
      </c>
      <c r="I101" s="36" t="s">
        <v>228</v>
      </c>
      <c r="J101" s="36" t="s">
        <v>229</v>
      </c>
      <c r="K101" s="66" t="s">
        <v>230</v>
      </c>
      <c r="L101" s="36" t="s">
        <v>231</v>
      </c>
      <c r="M101" s="47" t="s">
        <v>232</v>
      </c>
      <c r="N101" s="66" t="s">
        <v>233</v>
      </c>
      <c r="O101" s="36" t="s">
        <v>234</v>
      </c>
      <c r="P101" s="47" t="s">
        <v>235</v>
      </c>
      <c r="Q101" s="157" t="s">
        <v>236</v>
      </c>
      <c r="R101" s="32" t="s">
        <v>237</v>
      </c>
      <c r="S101" s="73"/>
    </row>
    <row r="102" spans="1:53" x14ac:dyDescent="0.25">
      <c r="A102" s="175" t="s">
        <v>238</v>
      </c>
      <c r="B102" s="10"/>
      <c r="C102" s="10"/>
      <c r="D102" s="112"/>
      <c r="E102" s="57"/>
      <c r="F102" s="17"/>
      <c r="G102" s="47"/>
      <c r="H102" s="62"/>
      <c r="I102" s="36"/>
      <c r="J102" s="36"/>
      <c r="K102" s="66"/>
      <c r="L102" s="36"/>
      <c r="M102" s="47"/>
      <c r="N102" s="66"/>
      <c r="O102" s="36"/>
      <c r="P102" s="47"/>
      <c r="Q102" s="156"/>
      <c r="R102" s="32"/>
      <c r="S102" s="73"/>
    </row>
    <row r="103" spans="1:53" x14ac:dyDescent="0.25">
      <c r="A103" s="30" t="s">
        <v>239</v>
      </c>
      <c r="B103" s="10"/>
      <c r="C103" s="10"/>
      <c r="D103" s="112" t="s">
        <v>240</v>
      </c>
      <c r="E103" s="57">
        <v>6</v>
      </c>
      <c r="F103" s="17">
        <v>300</v>
      </c>
      <c r="G103" s="27">
        <f t="shared" ref="G103" si="58">ROUND((+E103*F103),0)</f>
        <v>1800</v>
      </c>
      <c r="H103" s="62"/>
      <c r="I103" s="17">
        <f>F103</f>
        <v>300</v>
      </c>
      <c r="J103" s="17">
        <f>ROUND((+H103*I103),0)</f>
        <v>0</v>
      </c>
      <c r="K103" s="66"/>
      <c r="L103" s="17">
        <f>I103*(1+$B$9)</f>
        <v>309</v>
      </c>
      <c r="M103" s="27">
        <f>ROUND((+K103*L103),0)</f>
        <v>0</v>
      </c>
      <c r="N103" s="66">
        <v>6</v>
      </c>
      <c r="O103" s="17">
        <f>L103*(1+$B$9)</f>
        <v>318.27</v>
      </c>
      <c r="P103" s="27">
        <f>ROUND((+N103*O103),0)</f>
        <v>1910</v>
      </c>
      <c r="Q103" s="53">
        <f>E103+H103+K103+N103</f>
        <v>12</v>
      </c>
      <c r="R103" s="19">
        <f>G103+J103+M103+P103</f>
        <v>3710</v>
      </c>
      <c r="S103" s="73"/>
    </row>
    <row r="104" spans="1:53" x14ac:dyDescent="0.25">
      <c r="A104" s="175" t="s">
        <v>241</v>
      </c>
      <c r="B104" s="16"/>
      <c r="C104" s="10"/>
      <c r="D104" s="112"/>
      <c r="E104" s="57"/>
      <c r="F104" s="17"/>
      <c r="G104" s="47"/>
      <c r="H104" s="62"/>
      <c r="I104" s="36"/>
      <c r="J104" s="36"/>
      <c r="K104" s="66"/>
      <c r="L104" s="36"/>
      <c r="M104" s="47"/>
      <c r="N104" s="66"/>
      <c r="O104" s="36"/>
      <c r="P104" s="47"/>
      <c r="Q104" s="53"/>
      <c r="R104" s="32"/>
      <c r="S104" s="73"/>
    </row>
    <row r="105" spans="1:53" x14ac:dyDescent="0.25">
      <c r="A105" s="30" t="s">
        <v>242</v>
      </c>
      <c r="B105" s="10"/>
      <c r="C105" s="10"/>
      <c r="D105" s="112" t="s">
        <v>243</v>
      </c>
      <c r="E105" s="57">
        <v>7</v>
      </c>
      <c r="F105" s="17">
        <v>250</v>
      </c>
      <c r="G105" s="27">
        <f t="shared" ref="G105" si="59">ROUND((+E105*F105),0)</f>
        <v>1750</v>
      </c>
      <c r="H105" s="62">
        <v>7</v>
      </c>
      <c r="I105" s="17">
        <f>F105</f>
        <v>250</v>
      </c>
      <c r="J105" s="17">
        <f>ROUND((+H105*I105),0)</f>
        <v>1750</v>
      </c>
      <c r="K105" s="66">
        <v>7</v>
      </c>
      <c r="L105" s="17">
        <f>I105*(1+$B$9)</f>
        <v>257.5</v>
      </c>
      <c r="M105" s="27">
        <f>ROUND((+K105*L105),0)</f>
        <v>1803</v>
      </c>
      <c r="N105" s="66">
        <v>7</v>
      </c>
      <c r="O105" s="17">
        <f>L105*(1+$B$9)</f>
        <v>265.22500000000002</v>
      </c>
      <c r="P105" s="27">
        <f>ROUND((+N105*O105),0)</f>
        <v>1857</v>
      </c>
      <c r="Q105" s="53">
        <f>E105+H105+K105+N105</f>
        <v>28</v>
      </c>
      <c r="R105" s="19">
        <f>G105+J105+M105+P105</f>
        <v>7160</v>
      </c>
      <c r="S105" s="73"/>
    </row>
    <row r="106" spans="1:53" x14ac:dyDescent="0.25">
      <c r="A106" s="175" t="s">
        <v>244</v>
      </c>
      <c r="B106" s="10"/>
      <c r="C106" s="10"/>
      <c r="D106" s="112"/>
      <c r="E106" s="57"/>
      <c r="F106" s="17"/>
      <c r="G106" s="47"/>
      <c r="H106" s="62"/>
      <c r="I106" s="36"/>
      <c r="J106" s="36"/>
      <c r="K106" s="66"/>
      <c r="L106" s="36"/>
      <c r="M106" s="47"/>
      <c r="N106" s="66"/>
      <c r="O106" s="36"/>
      <c r="P106" s="47"/>
      <c r="Q106" s="53"/>
      <c r="R106" s="32"/>
      <c r="S106" s="73"/>
    </row>
    <row r="107" spans="1:53" x14ac:dyDescent="0.25">
      <c r="A107" s="170" t="s">
        <v>245</v>
      </c>
      <c r="B107" s="107"/>
      <c r="C107" s="107" t="s">
        <v>246</v>
      </c>
      <c r="D107" s="114" t="s">
        <v>247</v>
      </c>
      <c r="E107" s="57">
        <f>$B$10*7</f>
        <v>14</v>
      </c>
      <c r="F107" s="17">
        <v>250</v>
      </c>
      <c r="G107" s="27">
        <f t="shared" ref="G107" si="60">ROUND((+E107*F107),0)</f>
        <v>3500</v>
      </c>
      <c r="H107" s="56">
        <f>$B$10*7</f>
        <v>14</v>
      </c>
      <c r="I107" s="17">
        <f>F107</f>
        <v>250</v>
      </c>
      <c r="J107" s="17">
        <f>ROUND((+H107*I107),0)</f>
        <v>3500</v>
      </c>
      <c r="K107" s="57">
        <f>$B$10*7</f>
        <v>14</v>
      </c>
      <c r="L107" s="17">
        <f>I107*(1+$B$9)</f>
        <v>257.5</v>
      </c>
      <c r="M107" s="27">
        <f>ROUND((+K107*L107),0)</f>
        <v>3605</v>
      </c>
      <c r="N107" s="57">
        <f>$B$10*7</f>
        <v>14</v>
      </c>
      <c r="O107" s="17">
        <f>L107*(1+$B$9)</f>
        <v>265.22500000000002</v>
      </c>
      <c r="P107" s="27">
        <f>ROUND((+N107*O107),0)</f>
        <v>3713</v>
      </c>
      <c r="Q107" s="53">
        <f>E107+H107+K107+N107</f>
        <v>56</v>
      </c>
      <c r="R107" s="19">
        <f>G107+J107+M107+P107</f>
        <v>14318</v>
      </c>
      <c r="S107" s="73"/>
    </row>
    <row r="108" spans="1:53" x14ac:dyDescent="0.25">
      <c r="A108" s="74"/>
      <c r="B108" s="16"/>
      <c r="C108" s="10"/>
      <c r="D108" s="112"/>
      <c r="E108" s="57"/>
      <c r="F108" s="17"/>
      <c r="G108" s="47"/>
      <c r="H108" s="62"/>
      <c r="I108" s="36"/>
      <c r="J108" s="36"/>
      <c r="K108" s="66"/>
      <c r="L108" s="36"/>
      <c r="M108" s="47"/>
      <c r="N108" s="66"/>
      <c r="O108" s="36"/>
      <c r="P108" s="47"/>
      <c r="Q108" s="158"/>
      <c r="R108" s="32"/>
      <c r="S108" s="73"/>
    </row>
    <row r="109" spans="1:53" s="34" customFormat="1" x14ac:dyDescent="0.25">
      <c r="A109" s="38" t="s">
        <v>248</v>
      </c>
      <c r="B109" s="33"/>
      <c r="C109" s="33"/>
      <c r="D109" s="117"/>
      <c r="E109" s="84">
        <f>SUM(E103:E107)</f>
        <v>27</v>
      </c>
      <c r="F109" s="32"/>
      <c r="G109" s="49">
        <f>SUM(G101:G108)</f>
        <v>7050</v>
      </c>
      <c r="H109" s="59">
        <f>SUM(H103:H107)</f>
        <v>21</v>
      </c>
      <c r="I109" s="32"/>
      <c r="J109" s="32">
        <f>SUM(J101:J108)</f>
        <v>5250</v>
      </c>
      <c r="K109" s="84">
        <f>SUM(K103:K107)</f>
        <v>21</v>
      </c>
      <c r="L109" s="32"/>
      <c r="M109" s="49">
        <f>SUM(M101:M108)</f>
        <v>5408</v>
      </c>
      <c r="N109" s="84">
        <f>SUM(N103:N107)</f>
        <v>27</v>
      </c>
      <c r="O109" s="32"/>
      <c r="P109" s="49">
        <f>SUM(P101:P108)</f>
        <v>7480</v>
      </c>
      <c r="Q109" s="59">
        <f>SUM(Q103:Q107)</f>
        <v>96</v>
      </c>
      <c r="R109" s="49">
        <f>SUM(R101:R108)</f>
        <v>25188</v>
      </c>
      <c r="S109" s="77"/>
    </row>
    <row r="110" spans="1:53" x14ac:dyDescent="0.25">
      <c r="A110" s="74"/>
      <c r="B110" s="10"/>
      <c r="C110" s="10"/>
      <c r="D110" s="112"/>
      <c r="E110" s="57"/>
      <c r="F110" s="17"/>
      <c r="G110" s="47"/>
      <c r="H110" s="62"/>
      <c r="I110" s="36"/>
      <c r="J110" s="36"/>
      <c r="K110" s="66"/>
      <c r="L110" s="36"/>
      <c r="M110" s="47"/>
      <c r="N110" s="66"/>
      <c r="O110" s="36"/>
      <c r="P110" s="47"/>
      <c r="Q110" s="159"/>
      <c r="R110" s="32"/>
      <c r="S110" s="73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</row>
    <row r="111" spans="1:53" s="20" customFormat="1" x14ac:dyDescent="0.25">
      <c r="A111" s="172" t="s">
        <v>249</v>
      </c>
      <c r="B111" s="18"/>
      <c r="C111" s="18"/>
      <c r="D111" s="115"/>
      <c r="E111" s="89">
        <f>SUM(E99,E109)</f>
        <v>45</v>
      </c>
      <c r="F111" s="19"/>
      <c r="G111" s="49">
        <f>SUM(G99,G109)</f>
        <v>16950</v>
      </c>
      <c r="H111" s="60">
        <f>SUM(H99,H109)</f>
        <v>31</v>
      </c>
      <c r="I111" s="32"/>
      <c r="J111" s="32">
        <f>SUM(J99,J109)</f>
        <v>10750</v>
      </c>
      <c r="K111" s="86">
        <f>SUM(K99,K109)</f>
        <v>31</v>
      </c>
      <c r="L111" s="32"/>
      <c r="M111" s="49">
        <f>SUM(M99,M109)</f>
        <v>11074</v>
      </c>
      <c r="N111" s="86">
        <f>SUM(N99,N109)</f>
        <v>37</v>
      </c>
      <c r="O111" s="32"/>
      <c r="P111" s="49">
        <f>SUM(P99,P109)</f>
        <v>13314</v>
      </c>
      <c r="Q111" s="59">
        <f>SUM(Q99,Q109)</f>
        <v>144</v>
      </c>
      <c r="R111" s="32">
        <f>SUM(R99,R109)</f>
        <v>52088</v>
      </c>
      <c r="S111" s="75"/>
    </row>
    <row r="112" spans="1:53" x14ac:dyDescent="0.25">
      <c r="A112" s="38"/>
      <c r="B112" s="18"/>
      <c r="C112" s="18"/>
      <c r="D112" s="115"/>
      <c r="E112" s="89"/>
      <c r="F112" s="19"/>
      <c r="G112" s="49"/>
      <c r="H112" s="68"/>
      <c r="I112" s="19"/>
      <c r="J112" s="32"/>
      <c r="K112" s="89"/>
      <c r="L112" s="19"/>
      <c r="M112" s="49"/>
      <c r="N112" s="89"/>
      <c r="O112" s="19"/>
      <c r="P112" s="49"/>
      <c r="Q112" s="18"/>
      <c r="R112" s="32"/>
      <c r="S112" s="73"/>
    </row>
    <row r="113" spans="1:19" ht="16.5" thickBot="1" x14ac:dyDescent="0.3">
      <c r="A113" s="48" t="s">
        <v>250</v>
      </c>
      <c r="B113" s="24"/>
      <c r="C113" s="24"/>
      <c r="D113" s="116"/>
      <c r="E113" s="91"/>
      <c r="F113" s="25"/>
      <c r="G113" s="46">
        <f>G111</f>
        <v>16950</v>
      </c>
      <c r="H113" s="67"/>
      <c r="I113" s="25"/>
      <c r="J113" s="46">
        <f>J111</f>
        <v>10750</v>
      </c>
      <c r="K113" s="91"/>
      <c r="L113" s="25"/>
      <c r="M113" s="46">
        <f>M111</f>
        <v>11074</v>
      </c>
      <c r="N113" s="91"/>
      <c r="O113" s="25"/>
      <c r="P113" s="46">
        <f>P111</f>
        <v>13314</v>
      </c>
      <c r="Q113" s="24"/>
      <c r="R113" s="46">
        <f>R111</f>
        <v>52088</v>
      </c>
      <c r="S113" s="73">
        <f>G113+J113+M113+P113</f>
        <v>52088</v>
      </c>
    </row>
    <row r="114" spans="1:19" ht="16.5" thickTop="1" x14ac:dyDescent="0.25">
      <c r="A114" s="38"/>
      <c r="B114" s="18"/>
      <c r="C114" s="18"/>
      <c r="D114" s="115"/>
      <c r="E114" s="90"/>
      <c r="F114" s="17"/>
      <c r="G114" s="147"/>
      <c r="H114" s="124"/>
      <c r="I114" s="35"/>
      <c r="J114" s="149"/>
      <c r="K114" s="92"/>
      <c r="L114" s="35"/>
      <c r="M114" s="101"/>
      <c r="N114" s="92"/>
      <c r="O114" s="35"/>
      <c r="P114" s="101"/>
      <c r="Q114" s="18"/>
      <c r="R114" s="19"/>
      <c r="S114" s="73"/>
    </row>
    <row r="115" spans="1:19" s="20" customFormat="1" x14ac:dyDescent="0.25">
      <c r="A115" s="38" t="s">
        <v>251</v>
      </c>
      <c r="B115" s="18"/>
      <c r="C115" s="18"/>
      <c r="D115" s="115"/>
      <c r="E115" s="90"/>
      <c r="F115" s="17"/>
      <c r="G115" s="27"/>
      <c r="H115" s="124"/>
      <c r="I115" s="35"/>
      <c r="J115" s="35"/>
      <c r="K115" s="92"/>
      <c r="L115" s="35"/>
      <c r="M115" s="102"/>
      <c r="N115" s="92"/>
      <c r="O115" s="35"/>
      <c r="P115" s="102"/>
      <c r="Q115" s="18"/>
      <c r="R115" s="72"/>
      <c r="S115" s="75"/>
    </row>
    <row r="116" spans="1:19" s="20" customFormat="1" x14ac:dyDescent="0.25">
      <c r="A116" s="38"/>
      <c r="B116" s="18"/>
      <c r="C116" s="18"/>
      <c r="D116" s="115"/>
      <c r="E116" s="90"/>
      <c r="F116" s="17"/>
      <c r="G116" s="27"/>
      <c r="H116" s="124"/>
      <c r="I116" s="35"/>
      <c r="J116" s="35"/>
      <c r="K116" s="92"/>
      <c r="L116" s="35"/>
      <c r="M116" s="102"/>
      <c r="N116" s="92"/>
      <c r="O116" s="35"/>
      <c r="P116" s="102"/>
      <c r="Q116" s="18"/>
      <c r="R116" s="72"/>
      <c r="S116" s="75"/>
    </row>
    <row r="117" spans="1:19" x14ac:dyDescent="0.25">
      <c r="A117" s="38" t="s">
        <v>252</v>
      </c>
      <c r="B117" s="10"/>
      <c r="C117" s="10"/>
      <c r="D117" s="112"/>
      <c r="E117" s="90"/>
      <c r="F117" s="17"/>
      <c r="G117" s="27"/>
      <c r="H117" s="124"/>
      <c r="I117" s="35"/>
      <c r="J117" s="35"/>
      <c r="K117" s="92"/>
      <c r="L117" s="35"/>
      <c r="M117" s="102"/>
      <c r="N117" s="92"/>
      <c r="O117" s="35"/>
      <c r="P117" s="102"/>
      <c r="R117" s="72"/>
      <c r="S117" s="73"/>
    </row>
    <row r="118" spans="1:19" x14ac:dyDescent="0.25">
      <c r="A118" s="74"/>
      <c r="B118" s="10"/>
      <c r="C118" s="10"/>
      <c r="D118" s="112"/>
      <c r="E118" s="90"/>
      <c r="F118" s="17"/>
      <c r="G118" s="27"/>
      <c r="H118" s="54"/>
      <c r="I118" s="17"/>
      <c r="J118" s="17"/>
      <c r="K118" s="90"/>
      <c r="L118" s="17"/>
      <c r="M118" s="27"/>
      <c r="N118" s="90"/>
      <c r="O118" s="17"/>
      <c r="P118" s="27"/>
      <c r="Q118" s="18"/>
      <c r="R118" s="19"/>
      <c r="S118" s="73"/>
    </row>
    <row r="119" spans="1:19" x14ac:dyDescent="0.25">
      <c r="A119" s="173" t="s">
        <v>253</v>
      </c>
      <c r="B119" s="16"/>
      <c r="C119" s="10"/>
      <c r="D119" s="112"/>
      <c r="E119" s="57"/>
      <c r="F119" s="17"/>
      <c r="G119" s="27"/>
      <c r="H119" s="56"/>
      <c r="I119" s="17"/>
      <c r="J119" s="17"/>
      <c r="K119" s="57"/>
      <c r="L119" s="17"/>
      <c r="M119" s="27"/>
      <c r="N119" s="57"/>
      <c r="O119" s="17"/>
      <c r="P119" s="27"/>
      <c r="Q119" s="28"/>
      <c r="R119" s="19"/>
      <c r="S119" s="73"/>
    </row>
    <row r="120" spans="1:19" x14ac:dyDescent="0.25">
      <c r="A120" s="161" t="s">
        <v>254</v>
      </c>
      <c r="B120" s="16"/>
      <c r="C120" s="10"/>
      <c r="D120" s="112" t="s">
        <v>255</v>
      </c>
      <c r="E120" s="57">
        <v>1</v>
      </c>
      <c r="F120" s="17">
        <v>500</v>
      </c>
      <c r="G120" s="27">
        <f t="shared" ref="G120:G121" si="61">ROUND((+E120*F120),0)</f>
        <v>500</v>
      </c>
      <c r="H120" s="56"/>
      <c r="I120" s="17">
        <f>F120</f>
        <v>500</v>
      </c>
      <c r="J120" s="17">
        <f>ROUND((+H120*I120),0)</f>
        <v>0</v>
      </c>
      <c r="K120" s="57"/>
      <c r="L120" s="17">
        <f>I120*(1+$B$9)</f>
        <v>515</v>
      </c>
      <c r="M120" s="27">
        <f>ROUND((+K120*L120),0)</f>
        <v>0</v>
      </c>
      <c r="N120" s="57"/>
      <c r="O120" s="17">
        <f>L120*(1+$B$9)</f>
        <v>530.45000000000005</v>
      </c>
      <c r="P120" s="27">
        <f>ROUND((+N120*O120),0)</f>
        <v>0</v>
      </c>
      <c r="Q120" s="53">
        <f>E120+H120+K120+N120</f>
        <v>1</v>
      </c>
      <c r="R120" s="19">
        <f>G120+J120+M120+P120</f>
        <v>500</v>
      </c>
      <c r="S120" s="73"/>
    </row>
    <row r="121" spans="1:19" x14ac:dyDescent="0.25">
      <c r="A121" s="161" t="s">
        <v>256</v>
      </c>
      <c r="B121" s="16"/>
      <c r="C121" s="10"/>
      <c r="D121" s="112" t="s">
        <v>257</v>
      </c>
      <c r="E121" s="57"/>
      <c r="F121" s="17">
        <v>1500</v>
      </c>
      <c r="G121" s="27">
        <f t="shared" si="61"/>
        <v>0</v>
      </c>
      <c r="H121" s="179">
        <v>0</v>
      </c>
      <c r="I121" s="180">
        <v>1500</v>
      </c>
      <c r="J121" s="180">
        <f>ROUND((+H121*I121),0)</f>
        <v>0</v>
      </c>
      <c r="K121" s="57">
        <v>0</v>
      </c>
      <c r="L121" s="17">
        <f>I121*(1+$B$9)</f>
        <v>1545</v>
      </c>
      <c r="M121" s="27">
        <f>ROUND((+K121*L121),0)</f>
        <v>0</v>
      </c>
      <c r="N121" s="57">
        <v>0</v>
      </c>
      <c r="O121" s="17">
        <f>L121*(1+$B$9)</f>
        <v>1591.3500000000001</v>
      </c>
      <c r="P121" s="27">
        <f>ROUND((+N121*O121),0)</f>
        <v>0</v>
      </c>
      <c r="Q121" s="53">
        <f>E121+H121+K121+N121</f>
        <v>0</v>
      </c>
      <c r="R121" s="19">
        <f>G121+J121+M121+P121</f>
        <v>0</v>
      </c>
      <c r="S121" s="73"/>
    </row>
    <row r="122" spans="1:19" x14ac:dyDescent="0.25">
      <c r="A122" s="161" t="s">
        <v>258</v>
      </c>
      <c r="B122" s="16"/>
      <c r="C122" s="10"/>
      <c r="D122" s="112"/>
      <c r="E122" s="57"/>
      <c r="F122" s="17"/>
      <c r="G122" s="27"/>
      <c r="H122" s="56"/>
      <c r="I122" s="17"/>
      <c r="J122" s="17"/>
      <c r="K122" s="57"/>
      <c r="L122" s="17"/>
      <c r="M122" s="27"/>
      <c r="N122" s="57"/>
      <c r="O122" s="17"/>
      <c r="P122" s="27"/>
      <c r="Q122" s="28"/>
      <c r="R122" s="19"/>
      <c r="S122" s="73"/>
    </row>
    <row r="123" spans="1:19" x14ac:dyDescent="0.25">
      <c r="A123" s="30" t="s">
        <v>259</v>
      </c>
      <c r="B123" s="16"/>
      <c r="C123" s="107" t="s">
        <v>260</v>
      </c>
      <c r="D123" s="112" t="s">
        <v>261</v>
      </c>
      <c r="E123" s="57"/>
      <c r="F123" s="17">
        <v>1000</v>
      </c>
      <c r="G123" s="27">
        <f t="shared" ref="G123:G124" si="62">ROUND((+E123*F123),0)</f>
        <v>0</v>
      </c>
      <c r="H123" s="56">
        <v>0</v>
      </c>
      <c r="I123" s="17">
        <v>500</v>
      </c>
      <c r="J123" s="17">
        <f t="shared" ref="J123:J124" si="63">ROUND((+H123*I123),0)</f>
        <v>0</v>
      </c>
      <c r="K123" s="57">
        <v>0</v>
      </c>
      <c r="L123" s="17">
        <f t="shared" ref="L123:L124" si="64">I123*(1+$B$9)</f>
        <v>515</v>
      </c>
      <c r="M123" s="27">
        <f t="shared" ref="M123:M124" si="65">ROUND((+K123*L123),0)</f>
        <v>0</v>
      </c>
      <c r="N123" s="57">
        <v>0</v>
      </c>
      <c r="O123" s="17">
        <f t="shared" ref="O123:O124" si="66">L123*(1+$B$9)</f>
        <v>530.45000000000005</v>
      </c>
      <c r="P123" s="27">
        <f t="shared" ref="P123:P124" si="67">ROUND((+N123*O123),0)</f>
        <v>0</v>
      </c>
      <c r="Q123" s="53">
        <f t="shared" ref="Q123:Q124" si="68">E123+H123+K123+N123</f>
        <v>0</v>
      </c>
      <c r="R123" s="19">
        <f>G123+J123+M123+P123</f>
        <v>0</v>
      </c>
      <c r="S123" s="73"/>
    </row>
    <row r="124" spans="1:19" x14ac:dyDescent="0.25">
      <c r="A124" s="30" t="s">
        <v>262</v>
      </c>
      <c r="B124" s="16"/>
      <c r="C124" s="107" t="s">
        <v>263</v>
      </c>
      <c r="D124" s="112" t="s">
        <v>264</v>
      </c>
      <c r="E124" s="57"/>
      <c r="F124" s="17">
        <f>20*30</f>
        <v>600</v>
      </c>
      <c r="G124" s="27">
        <f t="shared" si="62"/>
        <v>0</v>
      </c>
      <c r="H124" s="179">
        <v>0</v>
      </c>
      <c r="I124" s="180">
        <v>600</v>
      </c>
      <c r="J124" s="180">
        <f t="shared" si="63"/>
        <v>0</v>
      </c>
      <c r="K124" s="57">
        <v>0</v>
      </c>
      <c r="L124" s="17">
        <f t="shared" si="64"/>
        <v>618</v>
      </c>
      <c r="M124" s="27">
        <f t="shared" si="65"/>
        <v>0</v>
      </c>
      <c r="N124" s="57">
        <v>0</v>
      </c>
      <c r="O124" s="17">
        <f t="shared" si="66"/>
        <v>636.54</v>
      </c>
      <c r="P124" s="27">
        <f t="shared" si="67"/>
        <v>0</v>
      </c>
      <c r="Q124" s="53">
        <f t="shared" si="68"/>
        <v>0</v>
      </c>
      <c r="R124" s="19">
        <f>G124+J124+M124+P124</f>
        <v>0</v>
      </c>
      <c r="S124" s="73"/>
    </row>
    <row r="125" spans="1:19" x14ac:dyDescent="0.25">
      <c r="A125" s="161" t="s">
        <v>265</v>
      </c>
      <c r="B125" s="16"/>
      <c r="C125" s="10"/>
      <c r="D125" s="112"/>
      <c r="E125" s="57"/>
      <c r="F125" s="17"/>
      <c r="G125" s="27"/>
      <c r="H125" s="56"/>
      <c r="I125" s="17"/>
      <c r="J125" s="17"/>
      <c r="K125" s="57"/>
      <c r="L125" s="17"/>
      <c r="M125" s="27"/>
      <c r="N125" s="57"/>
      <c r="O125" s="17"/>
      <c r="P125" s="27"/>
      <c r="Q125" s="53"/>
      <c r="R125" s="32"/>
      <c r="S125" s="73"/>
    </row>
    <row r="126" spans="1:19" x14ac:dyDescent="0.25">
      <c r="A126" s="30" t="s">
        <v>266</v>
      </c>
      <c r="B126" s="16"/>
      <c r="C126" s="107" t="s">
        <v>267</v>
      </c>
      <c r="D126" s="112" t="s">
        <v>268</v>
      </c>
      <c r="E126" s="57"/>
      <c r="F126" s="17">
        <v>1000</v>
      </c>
      <c r="G126" s="27">
        <f t="shared" ref="G126:G127" si="69">ROUND((+E126*F126),0)</f>
        <v>0</v>
      </c>
      <c r="H126" s="179">
        <v>0</v>
      </c>
      <c r="I126" s="180">
        <v>750</v>
      </c>
      <c r="J126" s="180">
        <f t="shared" ref="J126:J127" si="70">ROUND((+H126*I126),0)</f>
        <v>0</v>
      </c>
      <c r="K126" s="57"/>
      <c r="L126" s="17">
        <f t="shared" ref="L126:L127" si="71">I126*(1+$B$9)</f>
        <v>772.5</v>
      </c>
      <c r="M126" s="27">
        <f t="shared" ref="M126:M127" si="72">ROUND((+K126*L126),0)</f>
        <v>0</v>
      </c>
      <c r="N126" s="57">
        <v>0</v>
      </c>
      <c r="O126" s="17">
        <f t="shared" ref="O126:O127" si="73">L126*(1+$B$9)</f>
        <v>795.67500000000007</v>
      </c>
      <c r="P126" s="27">
        <f t="shared" ref="P126:P127" si="74">ROUND((+N126*O126),0)</f>
        <v>0</v>
      </c>
      <c r="Q126" s="53">
        <f t="shared" ref="Q126:Q127" si="75">E126+H126+K126+N126</f>
        <v>0</v>
      </c>
      <c r="R126" s="19">
        <f>G126+J126+M126+P126</f>
        <v>0</v>
      </c>
      <c r="S126" s="73"/>
    </row>
    <row r="127" spans="1:19" x14ac:dyDescent="0.25">
      <c r="A127" s="30" t="s">
        <v>269</v>
      </c>
      <c r="B127" s="16"/>
      <c r="C127" s="107" t="s">
        <v>270</v>
      </c>
      <c r="D127" s="112" t="s">
        <v>271</v>
      </c>
      <c r="E127" s="57"/>
      <c r="F127" s="17">
        <v>3000</v>
      </c>
      <c r="G127" s="27">
        <f t="shared" si="69"/>
        <v>0</v>
      </c>
      <c r="H127" s="179">
        <v>0</v>
      </c>
      <c r="I127" s="180">
        <v>3000</v>
      </c>
      <c r="J127" s="180">
        <f t="shared" si="70"/>
        <v>0</v>
      </c>
      <c r="K127" s="57"/>
      <c r="L127" s="17">
        <f t="shared" si="71"/>
        <v>3090</v>
      </c>
      <c r="M127" s="27">
        <f t="shared" si="72"/>
        <v>0</v>
      </c>
      <c r="N127" s="57">
        <v>0</v>
      </c>
      <c r="O127" s="17">
        <f t="shared" si="73"/>
        <v>3182.7000000000003</v>
      </c>
      <c r="P127" s="27">
        <f t="shared" si="74"/>
        <v>0</v>
      </c>
      <c r="Q127" s="53">
        <f t="shared" si="75"/>
        <v>0</v>
      </c>
      <c r="R127" s="19">
        <f>G127+J127+M127+P127</f>
        <v>0</v>
      </c>
      <c r="S127" s="73"/>
    </row>
    <row r="128" spans="1:19" ht="13.5" customHeight="1" x14ac:dyDescent="0.25">
      <c r="A128" s="161" t="s">
        <v>272</v>
      </c>
      <c r="B128" s="16"/>
      <c r="C128" s="10"/>
      <c r="D128" s="112"/>
      <c r="E128" s="57"/>
      <c r="F128" s="17"/>
      <c r="G128" s="27"/>
      <c r="H128" s="56"/>
      <c r="I128" s="17"/>
      <c r="J128" s="17">
        <f>ROUND((+H128*I128),0)</f>
        <v>0</v>
      </c>
      <c r="K128" s="57"/>
      <c r="L128" s="17">
        <f>I128*(1+$B$9)</f>
        <v>0</v>
      </c>
      <c r="M128" s="27">
        <f>ROUND((+K128*L128),0)</f>
        <v>0</v>
      </c>
      <c r="N128" s="57"/>
      <c r="O128" s="17">
        <f>L128*(1+$B$9)</f>
        <v>0</v>
      </c>
      <c r="P128" s="27"/>
      <c r="Q128" s="53"/>
      <c r="R128" s="32"/>
      <c r="S128" s="73"/>
    </row>
    <row r="129" spans="1:19" x14ac:dyDescent="0.25">
      <c r="A129" s="30" t="s">
        <v>273</v>
      </c>
      <c r="B129" s="16"/>
      <c r="C129" s="10" t="s">
        <v>274</v>
      </c>
      <c r="D129" s="112"/>
      <c r="E129" s="57"/>
      <c r="F129" s="17">
        <v>10000</v>
      </c>
      <c r="G129" s="27">
        <f t="shared" ref="G129:G130" si="76">ROUND((+E129*F129),0)</f>
        <v>0</v>
      </c>
      <c r="H129" s="54"/>
      <c r="I129" s="17">
        <f t="shared" ref="I129:I130" si="77">F129</f>
        <v>10000</v>
      </c>
      <c r="J129" s="17">
        <f t="shared" ref="J129:J130" si="78">ROUND((+H129*I129),0)</f>
        <v>0</v>
      </c>
      <c r="K129" s="90"/>
      <c r="L129" s="17">
        <f t="shared" ref="L129:L130" si="79">I129*(1+$B$9)</f>
        <v>10300</v>
      </c>
      <c r="M129" s="27">
        <f t="shared" ref="M129:M130" si="80">ROUND((+K129*L129),0)</f>
        <v>0</v>
      </c>
      <c r="N129" s="90">
        <v>1</v>
      </c>
      <c r="O129" s="17">
        <f t="shared" ref="O129:O130" si="81">L129*(1+$B$9)</f>
        <v>10609</v>
      </c>
      <c r="P129" s="27">
        <f t="shared" ref="P129:P130" si="82">ROUND((+N129*O129),0)</f>
        <v>10609</v>
      </c>
      <c r="Q129" s="53">
        <f t="shared" ref="Q129:Q130" si="83">E129+H129+K129+N129</f>
        <v>1</v>
      </c>
      <c r="R129" s="19">
        <f>G129+J129+M129+P129</f>
        <v>10609</v>
      </c>
      <c r="S129" s="73"/>
    </row>
    <row r="130" spans="1:19" x14ac:dyDescent="0.25">
      <c r="A130" s="30" t="s">
        <v>275</v>
      </c>
      <c r="B130" s="10"/>
      <c r="C130" s="10" t="s">
        <v>276</v>
      </c>
      <c r="D130" s="112"/>
      <c r="E130" s="90"/>
      <c r="F130" s="17">
        <v>2000</v>
      </c>
      <c r="G130" s="27">
        <f t="shared" si="76"/>
        <v>0</v>
      </c>
      <c r="H130" s="54"/>
      <c r="I130" s="17">
        <f t="shared" si="77"/>
        <v>2000</v>
      </c>
      <c r="J130" s="17">
        <f t="shared" si="78"/>
        <v>0</v>
      </c>
      <c r="K130" s="90"/>
      <c r="L130" s="17">
        <f t="shared" si="79"/>
        <v>2060</v>
      </c>
      <c r="M130" s="27">
        <f t="shared" si="80"/>
        <v>0</v>
      </c>
      <c r="N130" s="90">
        <v>1</v>
      </c>
      <c r="O130" s="17">
        <f t="shared" si="81"/>
        <v>2121.8000000000002</v>
      </c>
      <c r="P130" s="27">
        <f t="shared" si="82"/>
        <v>2122</v>
      </c>
      <c r="Q130" s="53">
        <f t="shared" si="83"/>
        <v>1</v>
      </c>
      <c r="R130" s="19">
        <f>G130+J130+M130+P130</f>
        <v>2122</v>
      </c>
      <c r="S130" s="73"/>
    </row>
    <row r="131" spans="1:19" x14ac:dyDescent="0.25">
      <c r="A131" s="30"/>
      <c r="B131" s="10"/>
      <c r="C131" s="10"/>
      <c r="D131" s="112"/>
      <c r="E131" s="90"/>
      <c r="F131" s="17"/>
      <c r="G131" s="27"/>
      <c r="H131" s="54"/>
      <c r="I131" s="17"/>
      <c r="J131" s="17"/>
      <c r="K131" s="90"/>
      <c r="L131" s="17"/>
      <c r="M131" s="27"/>
      <c r="N131" s="90"/>
      <c r="O131" s="17"/>
      <c r="P131" s="27"/>
      <c r="Q131" s="53"/>
      <c r="R131" s="32"/>
      <c r="S131" s="73"/>
    </row>
    <row r="132" spans="1:19" x14ac:dyDescent="0.25">
      <c r="A132" s="173" t="s">
        <v>277</v>
      </c>
      <c r="B132" s="16"/>
      <c r="C132" s="10"/>
      <c r="D132" s="112"/>
      <c r="E132" s="57"/>
      <c r="F132" s="17"/>
      <c r="G132" s="27"/>
      <c r="H132" s="56"/>
      <c r="I132" s="17"/>
      <c r="J132" s="17"/>
      <c r="K132" s="57"/>
      <c r="L132" s="17"/>
      <c r="M132" s="27"/>
      <c r="N132" s="57"/>
      <c r="O132" s="17"/>
      <c r="P132" s="27"/>
      <c r="Q132" s="53"/>
      <c r="R132" s="19"/>
      <c r="S132" s="73"/>
    </row>
    <row r="133" spans="1:19" x14ac:dyDescent="0.25">
      <c r="A133" s="161" t="s">
        <v>278</v>
      </c>
      <c r="B133" s="16"/>
      <c r="C133" s="10"/>
      <c r="D133" s="112"/>
      <c r="E133" s="57"/>
      <c r="F133" s="17"/>
      <c r="G133" s="27"/>
      <c r="H133" s="56"/>
      <c r="I133" s="17"/>
      <c r="J133" s="17"/>
      <c r="K133" s="57"/>
      <c r="L133" s="17"/>
      <c r="M133" s="27"/>
      <c r="N133" s="57"/>
      <c r="O133" s="17"/>
      <c r="P133" s="27"/>
      <c r="Q133" s="53"/>
      <c r="R133" s="19"/>
      <c r="S133" s="73"/>
    </row>
    <row r="134" spans="1:19" x14ac:dyDescent="0.25">
      <c r="A134" s="170" t="s">
        <v>279</v>
      </c>
      <c r="B134" s="108"/>
      <c r="C134" s="107" t="s">
        <v>280</v>
      </c>
      <c r="D134" s="114" t="s">
        <v>281</v>
      </c>
      <c r="E134" s="181">
        <v>5</v>
      </c>
      <c r="F134" s="17">
        <v>175</v>
      </c>
      <c r="G134" s="27">
        <f t="shared" ref="G134:G136" si="84">ROUND((+E134*F134),0)</f>
        <v>875</v>
      </c>
      <c r="H134" s="181">
        <v>5</v>
      </c>
      <c r="I134" s="17">
        <f t="shared" ref="I134:I136" si="85">F134</f>
        <v>175</v>
      </c>
      <c r="J134" s="17">
        <f t="shared" ref="J134:J136" si="86">ROUND((+H134*I134),0)</f>
        <v>875</v>
      </c>
      <c r="K134" s="181">
        <v>5</v>
      </c>
      <c r="L134" s="17">
        <f t="shared" ref="L134:L136" si="87">I134*(1+$B$9)</f>
        <v>180.25</v>
      </c>
      <c r="M134" s="27">
        <f t="shared" ref="M134:M136" si="88">ROUND((+K134*L134),0)</f>
        <v>901</v>
      </c>
      <c r="N134" s="181">
        <v>5</v>
      </c>
      <c r="O134" s="17">
        <f t="shared" ref="O134:O136" si="89">L134*(1+$B$9)</f>
        <v>185.6575</v>
      </c>
      <c r="P134" s="27">
        <f t="shared" ref="P134:P136" si="90">ROUND((+N134*O134),0)</f>
        <v>928</v>
      </c>
      <c r="Q134" s="53">
        <f t="shared" ref="Q134:Q136" si="91">E134+H134+K134+N134</f>
        <v>20</v>
      </c>
      <c r="R134" s="19">
        <f>G134+J134+M134+P134</f>
        <v>3579</v>
      </c>
      <c r="S134" s="73"/>
    </row>
    <row r="135" spans="1:19" x14ac:dyDescent="0.25">
      <c r="A135" s="170" t="s">
        <v>282</v>
      </c>
      <c r="B135" s="108"/>
      <c r="C135" s="107" t="s">
        <v>283</v>
      </c>
      <c r="D135" s="114" t="s">
        <v>284</v>
      </c>
      <c r="E135" s="181">
        <v>15</v>
      </c>
      <c r="F135" s="17">
        <v>125</v>
      </c>
      <c r="G135" s="27">
        <f t="shared" si="84"/>
        <v>1875</v>
      </c>
      <c r="H135" s="181">
        <v>15</v>
      </c>
      <c r="I135" s="17">
        <f t="shared" si="85"/>
        <v>125</v>
      </c>
      <c r="J135" s="17">
        <f t="shared" si="86"/>
        <v>1875</v>
      </c>
      <c r="K135" s="181">
        <v>15</v>
      </c>
      <c r="L135" s="17">
        <f t="shared" si="87"/>
        <v>128.75</v>
      </c>
      <c r="M135" s="27">
        <f t="shared" si="88"/>
        <v>1931</v>
      </c>
      <c r="N135" s="181">
        <v>15</v>
      </c>
      <c r="O135" s="17">
        <f t="shared" si="89"/>
        <v>132.61250000000001</v>
      </c>
      <c r="P135" s="27">
        <f t="shared" si="90"/>
        <v>1989</v>
      </c>
      <c r="Q135" s="53">
        <f t="shared" si="91"/>
        <v>60</v>
      </c>
      <c r="R135" s="19">
        <f>G135+J135+M135+P135</f>
        <v>7670</v>
      </c>
      <c r="S135" s="73"/>
    </row>
    <row r="136" spans="1:19" x14ac:dyDescent="0.25">
      <c r="A136" s="170" t="s">
        <v>285</v>
      </c>
      <c r="B136" s="108"/>
      <c r="C136" s="107" t="s">
        <v>286</v>
      </c>
      <c r="D136" s="114" t="s">
        <v>287</v>
      </c>
      <c r="E136" s="181">
        <f>5*$B$10</f>
        <v>10</v>
      </c>
      <c r="F136" s="17">
        <v>0</v>
      </c>
      <c r="G136" s="27">
        <f t="shared" si="84"/>
        <v>0</v>
      </c>
      <c r="H136" s="181">
        <v>10</v>
      </c>
      <c r="I136" s="17">
        <f t="shared" si="85"/>
        <v>0</v>
      </c>
      <c r="J136" s="17">
        <f t="shared" si="86"/>
        <v>0</v>
      </c>
      <c r="K136" s="181">
        <v>10</v>
      </c>
      <c r="L136" s="17">
        <f t="shared" si="87"/>
        <v>0</v>
      </c>
      <c r="M136" s="27">
        <f t="shared" si="88"/>
        <v>0</v>
      </c>
      <c r="N136" s="181">
        <v>10</v>
      </c>
      <c r="O136" s="17">
        <f t="shared" si="89"/>
        <v>0</v>
      </c>
      <c r="P136" s="27">
        <f t="shared" si="90"/>
        <v>0</v>
      </c>
      <c r="Q136" s="53">
        <f t="shared" si="91"/>
        <v>40</v>
      </c>
      <c r="R136" s="19">
        <f>G136+J136+M136+P136</f>
        <v>0</v>
      </c>
      <c r="S136" s="73"/>
    </row>
    <row r="137" spans="1:19" x14ac:dyDescent="0.25">
      <c r="A137" s="161" t="s">
        <v>288</v>
      </c>
      <c r="B137" s="108"/>
      <c r="C137" s="107"/>
      <c r="D137" s="114"/>
      <c r="E137" s="57"/>
      <c r="F137" s="17"/>
      <c r="G137" s="27"/>
      <c r="H137" s="56"/>
      <c r="I137" s="17"/>
      <c r="J137" s="17"/>
      <c r="K137" s="57"/>
      <c r="L137" s="17"/>
      <c r="M137" s="27"/>
      <c r="N137" s="57"/>
      <c r="O137" s="17"/>
      <c r="P137" s="27"/>
      <c r="Q137" s="53"/>
      <c r="R137" s="32"/>
      <c r="S137" s="73"/>
    </row>
    <row r="138" spans="1:19" x14ac:dyDescent="0.25">
      <c r="A138" s="176" t="s">
        <v>289</v>
      </c>
      <c r="B138" s="108"/>
      <c r="C138" s="107" t="s">
        <v>290</v>
      </c>
      <c r="D138" s="114" t="s">
        <v>291</v>
      </c>
      <c r="E138" s="57">
        <v>5</v>
      </c>
      <c r="F138" s="17">
        <v>200</v>
      </c>
      <c r="G138" s="27">
        <f t="shared" ref="G138:G141" si="92">ROUND((+E138*F138),0)</f>
        <v>1000</v>
      </c>
      <c r="H138" s="56">
        <v>5</v>
      </c>
      <c r="I138" s="17">
        <f t="shared" ref="I138:I141" si="93">F138</f>
        <v>200</v>
      </c>
      <c r="J138" s="17">
        <f t="shared" ref="J138:J141" si="94">ROUND((+H138*I138),0)</f>
        <v>1000</v>
      </c>
      <c r="K138" s="57">
        <v>5</v>
      </c>
      <c r="L138" s="17">
        <f t="shared" ref="L138:L141" si="95">I138*(1+$B$9)</f>
        <v>206</v>
      </c>
      <c r="M138" s="27">
        <f t="shared" ref="M138:M141" si="96">ROUND((+K138*L138),0)</f>
        <v>1030</v>
      </c>
      <c r="N138" s="57">
        <v>5</v>
      </c>
      <c r="O138" s="17">
        <f t="shared" ref="O138:O141" si="97">L138*(1+$B$9)</f>
        <v>212.18</v>
      </c>
      <c r="P138" s="27">
        <f t="shared" ref="P138:P141" si="98">ROUND((+N138*O138),0)</f>
        <v>1061</v>
      </c>
      <c r="Q138" s="53">
        <f t="shared" ref="Q138:Q141" si="99">E138+H138+K138+N138</f>
        <v>20</v>
      </c>
      <c r="R138" s="19">
        <f>G138+J138+M138+P138</f>
        <v>4091</v>
      </c>
      <c r="S138" s="73"/>
    </row>
    <row r="139" spans="1:19" x14ac:dyDescent="0.25">
      <c r="A139" s="170" t="s">
        <v>292</v>
      </c>
      <c r="B139" s="108"/>
      <c r="C139" s="107" t="s">
        <v>293</v>
      </c>
      <c r="D139" s="114" t="s">
        <v>294</v>
      </c>
      <c r="E139" s="181">
        <v>10</v>
      </c>
      <c r="F139" s="17">
        <v>60</v>
      </c>
      <c r="G139" s="27">
        <f t="shared" si="92"/>
        <v>600</v>
      </c>
      <c r="H139" s="181">
        <v>10</v>
      </c>
      <c r="I139" s="17">
        <f t="shared" si="93"/>
        <v>60</v>
      </c>
      <c r="J139" s="17">
        <f t="shared" si="94"/>
        <v>600</v>
      </c>
      <c r="K139" s="181">
        <v>10</v>
      </c>
      <c r="L139" s="17">
        <f t="shared" si="95"/>
        <v>61.800000000000004</v>
      </c>
      <c r="M139" s="27">
        <f t="shared" si="96"/>
        <v>618</v>
      </c>
      <c r="N139" s="181">
        <v>10</v>
      </c>
      <c r="O139" s="17">
        <f t="shared" si="97"/>
        <v>63.654000000000003</v>
      </c>
      <c r="P139" s="27">
        <f t="shared" si="98"/>
        <v>637</v>
      </c>
      <c r="Q139" s="53">
        <f t="shared" si="99"/>
        <v>40</v>
      </c>
      <c r="R139" s="19">
        <f>G139+J139+M139+P139</f>
        <v>2455</v>
      </c>
      <c r="S139" s="73"/>
    </row>
    <row r="140" spans="1:19" x14ac:dyDescent="0.25">
      <c r="A140" s="176" t="s">
        <v>295</v>
      </c>
      <c r="B140" s="108"/>
      <c r="C140" s="107" t="s">
        <v>296</v>
      </c>
      <c r="D140" s="114" t="s">
        <v>297</v>
      </c>
      <c r="E140" s="181">
        <v>25</v>
      </c>
      <c r="F140" s="17">
        <v>150</v>
      </c>
      <c r="G140" s="27">
        <f t="shared" si="92"/>
        <v>3750</v>
      </c>
      <c r="H140" s="181">
        <v>25</v>
      </c>
      <c r="I140" s="17">
        <f t="shared" si="93"/>
        <v>150</v>
      </c>
      <c r="J140" s="17">
        <f t="shared" si="94"/>
        <v>3750</v>
      </c>
      <c r="K140" s="181">
        <v>25</v>
      </c>
      <c r="L140" s="17">
        <f t="shared" si="95"/>
        <v>154.5</v>
      </c>
      <c r="M140" s="27">
        <f t="shared" si="96"/>
        <v>3863</v>
      </c>
      <c r="N140" s="181">
        <v>25</v>
      </c>
      <c r="O140" s="17">
        <f t="shared" si="97"/>
        <v>159.13499999999999</v>
      </c>
      <c r="P140" s="27">
        <f t="shared" si="98"/>
        <v>3978</v>
      </c>
      <c r="Q140" s="53">
        <f t="shared" si="99"/>
        <v>100</v>
      </c>
      <c r="R140" s="19">
        <f>G140+J140+M140+P140</f>
        <v>15341</v>
      </c>
      <c r="S140" s="73"/>
    </row>
    <row r="141" spans="1:19" x14ac:dyDescent="0.25">
      <c r="A141" s="170" t="s">
        <v>298</v>
      </c>
      <c r="B141" s="108"/>
      <c r="C141" s="107" t="s">
        <v>299</v>
      </c>
      <c r="D141" s="114" t="s">
        <v>300</v>
      </c>
      <c r="E141" s="181">
        <v>5</v>
      </c>
      <c r="F141" s="17">
        <v>50</v>
      </c>
      <c r="G141" s="27">
        <f t="shared" si="92"/>
        <v>250</v>
      </c>
      <c r="H141" s="181">
        <v>5</v>
      </c>
      <c r="I141" s="17">
        <f t="shared" si="93"/>
        <v>50</v>
      </c>
      <c r="J141" s="17">
        <f t="shared" si="94"/>
        <v>250</v>
      </c>
      <c r="K141" s="181">
        <v>5</v>
      </c>
      <c r="L141" s="17">
        <f t="shared" si="95"/>
        <v>51.5</v>
      </c>
      <c r="M141" s="27">
        <f t="shared" si="96"/>
        <v>258</v>
      </c>
      <c r="N141" s="181">
        <v>5</v>
      </c>
      <c r="O141" s="17">
        <f t="shared" si="97"/>
        <v>53.045000000000002</v>
      </c>
      <c r="P141" s="27">
        <f t="shared" si="98"/>
        <v>265</v>
      </c>
      <c r="Q141" s="53">
        <f t="shared" si="99"/>
        <v>20</v>
      </c>
      <c r="R141" s="19">
        <f>G141+J141+M141+P141</f>
        <v>1023</v>
      </c>
      <c r="S141" s="73"/>
    </row>
    <row r="142" spans="1:19" x14ac:dyDescent="0.25">
      <c r="A142" s="177"/>
      <c r="B142" s="108"/>
      <c r="C142" s="107"/>
      <c r="D142" s="114"/>
      <c r="E142" s="57"/>
      <c r="F142" s="17"/>
      <c r="G142" s="27"/>
      <c r="H142" s="56"/>
      <c r="I142" s="17"/>
      <c r="J142" s="17"/>
      <c r="K142" s="57"/>
      <c r="L142" s="17"/>
      <c r="M142" s="27"/>
      <c r="N142" s="57"/>
      <c r="O142" s="17"/>
      <c r="P142" s="27"/>
      <c r="Q142" s="53"/>
      <c r="R142" s="32"/>
      <c r="S142" s="73"/>
    </row>
    <row r="143" spans="1:19" x14ac:dyDescent="0.25">
      <c r="A143" s="173" t="s">
        <v>301</v>
      </c>
      <c r="B143" s="108"/>
      <c r="C143" s="107"/>
      <c r="D143" s="114"/>
      <c r="E143" s="57"/>
      <c r="F143" s="17"/>
      <c r="G143" s="27"/>
      <c r="H143" s="56"/>
      <c r="I143" s="17"/>
      <c r="J143" s="17"/>
      <c r="K143" s="57"/>
      <c r="L143" s="17"/>
      <c r="M143" s="27"/>
      <c r="N143" s="57"/>
      <c r="O143" s="17"/>
      <c r="P143" s="27"/>
      <c r="Q143" s="53"/>
      <c r="R143" s="19"/>
      <c r="S143" s="73"/>
    </row>
    <row r="144" spans="1:19" x14ac:dyDescent="0.25">
      <c r="A144" s="161" t="s">
        <v>302</v>
      </c>
      <c r="B144" s="16"/>
      <c r="C144" s="10"/>
      <c r="D144" s="112"/>
      <c r="E144" s="57"/>
      <c r="F144" s="17"/>
      <c r="G144" s="27"/>
      <c r="H144" s="56"/>
      <c r="I144" s="17"/>
      <c r="J144" s="17"/>
      <c r="K144" s="57"/>
      <c r="L144" s="17"/>
      <c r="M144" s="27"/>
      <c r="N144" s="57"/>
      <c r="O144" s="17"/>
      <c r="P144" s="27"/>
      <c r="Q144" s="53"/>
      <c r="R144" s="19"/>
      <c r="S144" s="73"/>
    </row>
    <row r="145" spans="1:59" x14ac:dyDescent="0.25">
      <c r="A145" s="170" t="s">
        <v>303</v>
      </c>
      <c r="B145" s="108"/>
      <c r="C145" s="107" t="s">
        <v>304</v>
      </c>
      <c r="D145" s="114" t="s">
        <v>305</v>
      </c>
      <c r="E145" s="181">
        <f>(15*1)*$B$10</f>
        <v>30</v>
      </c>
      <c r="F145" s="17">
        <v>175</v>
      </c>
      <c r="G145" s="27">
        <f t="shared" ref="G145:G151" si="100">ROUND((+E145*F145),0)</f>
        <v>5250</v>
      </c>
      <c r="H145" s="181">
        <f>(15*1)*$B$10</f>
        <v>30</v>
      </c>
      <c r="I145" s="17">
        <f t="shared" ref="I145:I151" si="101">F145</f>
        <v>175</v>
      </c>
      <c r="J145" s="17">
        <f t="shared" ref="J145:J151" si="102">ROUND((+H145*I145),0)</f>
        <v>5250</v>
      </c>
      <c r="K145" s="181">
        <f>(15*1)*$B$10</f>
        <v>30</v>
      </c>
      <c r="L145" s="17">
        <f t="shared" ref="L145:L151" si="103">I145*(1+$B$9)</f>
        <v>180.25</v>
      </c>
      <c r="M145" s="27">
        <f t="shared" ref="M145:M151" si="104">ROUND((+K145*L145),0)</f>
        <v>5408</v>
      </c>
      <c r="N145" s="181">
        <f>(15*1)*$B$10</f>
        <v>30</v>
      </c>
      <c r="O145" s="17">
        <f t="shared" ref="O145:O151" si="105">L145*(1+$B$9)</f>
        <v>185.6575</v>
      </c>
      <c r="P145" s="27">
        <f t="shared" ref="P145:P151" si="106">ROUND((+N145*O145),0)</f>
        <v>5570</v>
      </c>
      <c r="Q145" s="53">
        <f t="shared" ref="Q145:Q151" si="107">E145+H145+K145+N145</f>
        <v>120</v>
      </c>
      <c r="R145" s="19">
        <f t="shared" ref="R145:R151" si="108">G145+J145+M145+P145</f>
        <v>21478</v>
      </c>
      <c r="S145" s="73"/>
    </row>
    <row r="146" spans="1:59" x14ac:dyDescent="0.25">
      <c r="A146" s="170" t="s">
        <v>306</v>
      </c>
      <c r="B146" s="108"/>
      <c r="C146" s="107" t="s">
        <v>307</v>
      </c>
      <c r="D146" s="114" t="s">
        <v>308</v>
      </c>
      <c r="E146" s="181">
        <f>(15*3)*$B$10</f>
        <v>90</v>
      </c>
      <c r="F146" s="17">
        <v>125</v>
      </c>
      <c r="G146" s="27">
        <f t="shared" si="100"/>
        <v>11250</v>
      </c>
      <c r="H146" s="181">
        <f>(15*3)*$B$10</f>
        <v>90</v>
      </c>
      <c r="I146" s="17">
        <f t="shared" si="101"/>
        <v>125</v>
      </c>
      <c r="J146" s="17">
        <f t="shared" si="102"/>
        <v>11250</v>
      </c>
      <c r="K146" s="181">
        <f>(15*3)*$B$10</f>
        <v>90</v>
      </c>
      <c r="L146" s="17">
        <f t="shared" si="103"/>
        <v>128.75</v>
      </c>
      <c r="M146" s="27">
        <f t="shared" si="104"/>
        <v>11588</v>
      </c>
      <c r="N146" s="181">
        <f>(15*3)*$B$10</f>
        <v>90</v>
      </c>
      <c r="O146" s="17">
        <f t="shared" si="105"/>
        <v>132.61250000000001</v>
      </c>
      <c r="P146" s="27">
        <f t="shared" si="106"/>
        <v>11935</v>
      </c>
      <c r="Q146" s="53">
        <f t="shared" si="107"/>
        <v>360</v>
      </c>
      <c r="R146" s="19">
        <f t="shared" si="108"/>
        <v>46023</v>
      </c>
      <c r="S146" s="73"/>
    </row>
    <row r="147" spans="1:59" x14ac:dyDescent="0.25">
      <c r="A147" s="170" t="s">
        <v>309</v>
      </c>
      <c r="B147" s="108"/>
      <c r="C147" s="107" t="s">
        <v>310</v>
      </c>
      <c r="D147" s="114" t="s">
        <v>311</v>
      </c>
      <c r="E147" s="181">
        <f>(15)*$B$10</f>
        <v>30</v>
      </c>
      <c r="F147" s="17">
        <v>0</v>
      </c>
      <c r="G147" s="27">
        <f t="shared" si="100"/>
        <v>0</v>
      </c>
      <c r="H147" s="181">
        <f>(15*2)*$B$10</f>
        <v>60</v>
      </c>
      <c r="I147" s="17">
        <f t="shared" si="101"/>
        <v>0</v>
      </c>
      <c r="J147" s="17">
        <f t="shared" si="102"/>
        <v>0</v>
      </c>
      <c r="K147" s="181">
        <f>(15*2)*$B$10</f>
        <v>60</v>
      </c>
      <c r="L147" s="17">
        <f t="shared" si="103"/>
        <v>0</v>
      </c>
      <c r="M147" s="27">
        <f t="shared" si="104"/>
        <v>0</v>
      </c>
      <c r="N147" s="181">
        <f>(15*2)*$B$10</f>
        <v>60</v>
      </c>
      <c r="O147" s="17">
        <f t="shared" si="105"/>
        <v>0</v>
      </c>
      <c r="P147" s="27">
        <f t="shared" si="106"/>
        <v>0</v>
      </c>
      <c r="Q147" s="53">
        <f t="shared" si="107"/>
        <v>210</v>
      </c>
      <c r="R147" s="19">
        <f t="shared" si="108"/>
        <v>0</v>
      </c>
      <c r="S147" s="73"/>
    </row>
    <row r="148" spans="1:59" x14ac:dyDescent="0.25">
      <c r="A148" s="161" t="s">
        <v>312</v>
      </c>
      <c r="B148" s="108"/>
      <c r="C148" s="107"/>
      <c r="D148" s="114"/>
      <c r="E148" s="57"/>
      <c r="F148" s="17"/>
      <c r="G148" s="27"/>
      <c r="H148" s="56"/>
      <c r="I148" s="17"/>
      <c r="J148" s="17"/>
      <c r="K148" s="57"/>
      <c r="L148" s="17"/>
      <c r="M148" s="27"/>
      <c r="N148" s="57"/>
      <c r="O148" s="17"/>
      <c r="P148" s="27"/>
      <c r="Q148" s="53"/>
      <c r="R148" s="32"/>
      <c r="S148" s="73"/>
    </row>
    <row r="149" spans="1:59" x14ac:dyDescent="0.25">
      <c r="A149" s="176" t="s">
        <v>313</v>
      </c>
      <c r="B149" s="108"/>
      <c r="C149" s="107" t="s">
        <v>314</v>
      </c>
      <c r="D149" s="114" t="s">
        <v>315</v>
      </c>
      <c r="E149" s="181">
        <f>(15*5)*$B$10</f>
        <v>150</v>
      </c>
      <c r="F149" s="17">
        <v>150</v>
      </c>
      <c r="G149" s="27">
        <f t="shared" ref="G149" si="109">ROUND((+E149*F149),0)</f>
        <v>22500</v>
      </c>
      <c r="H149" s="181">
        <f>$B$10*5*15</f>
        <v>150</v>
      </c>
      <c r="I149" s="17">
        <f>F149</f>
        <v>150</v>
      </c>
      <c r="J149" s="17">
        <f t="shared" ref="J149" si="110">ROUND((+H149*I149),0)</f>
        <v>22500</v>
      </c>
      <c r="K149" s="181">
        <f>$B$10*5*15</f>
        <v>150</v>
      </c>
      <c r="L149" s="17">
        <f t="shared" ref="L149" si="111">I149*(1+$B$9)</f>
        <v>154.5</v>
      </c>
      <c r="M149" s="27">
        <f t="shared" ref="M149" si="112">ROUND((+K149*L149),0)</f>
        <v>23175</v>
      </c>
      <c r="N149" s="181">
        <f>$B$10*5*15</f>
        <v>150</v>
      </c>
      <c r="O149" s="17">
        <f t="shared" ref="O149" si="113">L149*(1+$B$9)</f>
        <v>159.13499999999999</v>
      </c>
      <c r="P149" s="27">
        <f t="shared" ref="P149" si="114">ROUND((+N149*O149),0)</f>
        <v>23870</v>
      </c>
      <c r="Q149" s="53">
        <f t="shared" ref="Q149" si="115">E149+H149+K149+N149</f>
        <v>600</v>
      </c>
      <c r="R149" s="19">
        <f>G149+J149+M149+P149</f>
        <v>92045</v>
      </c>
      <c r="S149" s="73"/>
    </row>
    <row r="150" spans="1:59" x14ac:dyDescent="0.25">
      <c r="A150" s="170" t="s">
        <v>316</v>
      </c>
      <c r="B150" s="108"/>
      <c r="C150" s="107" t="s">
        <v>317</v>
      </c>
      <c r="D150" s="114" t="s">
        <v>318</v>
      </c>
      <c r="E150" s="181">
        <f>15*$B$10</f>
        <v>30</v>
      </c>
      <c r="F150" s="17">
        <v>200</v>
      </c>
      <c r="G150" s="27">
        <f t="shared" si="100"/>
        <v>6000</v>
      </c>
      <c r="H150" s="179">
        <f>15*$B$10</f>
        <v>30</v>
      </c>
      <c r="I150" s="17">
        <f t="shared" si="101"/>
        <v>200</v>
      </c>
      <c r="J150" s="17">
        <f t="shared" si="102"/>
        <v>6000</v>
      </c>
      <c r="K150" s="179">
        <f>15*$B$10</f>
        <v>30</v>
      </c>
      <c r="L150" s="17">
        <f t="shared" si="103"/>
        <v>206</v>
      </c>
      <c r="M150" s="27">
        <f t="shared" si="104"/>
        <v>6180</v>
      </c>
      <c r="N150" s="179">
        <f>15*$B$10</f>
        <v>30</v>
      </c>
      <c r="O150" s="17">
        <f t="shared" si="105"/>
        <v>212.18</v>
      </c>
      <c r="P150" s="27">
        <f t="shared" si="106"/>
        <v>6365</v>
      </c>
      <c r="Q150" s="53">
        <f t="shared" si="107"/>
        <v>120</v>
      </c>
      <c r="R150" s="19">
        <f t="shared" si="108"/>
        <v>24545</v>
      </c>
      <c r="S150" s="73"/>
    </row>
    <row r="151" spans="1:59" x14ac:dyDescent="0.25">
      <c r="A151" s="30" t="s">
        <v>319</v>
      </c>
      <c r="B151" s="16"/>
      <c r="C151" s="10"/>
      <c r="D151" s="112" t="s">
        <v>320</v>
      </c>
      <c r="E151" s="181">
        <v>1</v>
      </c>
      <c r="F151" s="17">
        <v>2000</v>
      </c>
      <c r="G151" s="27">
        <f t="shared" si="100"/>
        <v>2000</v>
      </c>
      <c r="H151" s="179">
        <v>1</v>
      </c>
      <c r="I151" s="17">
        <f t="shared" si="101"/>
        <v>2000</v>
      </c>
      <c r="J151" s="17">
        <f t="shared" si="102"/>
        <v>2000</v>
      </c>
      <c r="K151" s="179">
        <v>1</v>
      </c>
      <c r="L151" s="17">
        <f t="shared" si="103"/>
        <v>2060</v>
      </c>
      <c r="M151" s="27">
        <f t="shared" si="104"/>
        <v>2060</v>
      </c>
      <c r="N151" s="179">
        <v>1</v>
      </c>
      <c r="O151" s="17">
        <f t="shared" si="105"/>
        <v>2121.8000000000002</v>
      </c>
      <c r="P151" s="27">
        <f t="shared" si="106"/>
        <v>2122</v>
      </c>
      <c r="Q151" s="53">
        <f t="shared" si="107"/>
        <v>4</v>
      </c>
      <c r="R151" s="19">
        <f t="shared" si="108"/>
        <v>8182</v>
      </c>
      <c r="S151" s="73"/>
    </row>
    <row r="152" spans="1:59" x14ac:dyDescent="0.25">
      <c r="A152" s="38"/>
      <c r="B152" s="18"/>
      <c r="C152" s="18"/>
      <c r="D152" s="115"/>
      <c r="E152" s="83"/>
      <c r="F152" s="19"/>
      <c r="G152" s="103"/>
      <c r="H152" s="58"/>
      <c r="I152" s="19"/>
      <c r="J152" s="31"/>
      <c r="K152" s="83"/>
      <c r="L152" s="19"/>
      <c r="M152" s="103"/>
      <c r="N152" s="83"/>
      <c r="O152" s="19"/>
      <c r="P152" s="103"/>
      <c r="Q152" s="53"/>
      <c r="R152" s="19" t="s">
        <v>321</v>
      </c>
      <c r="S152" s="73"/>
    </row>
    <row r="153" spans="1:59" s="39" customFormat="1" x14ac:dyDescent="0.25">
      <c r="A153" s="178" t="s">
        <v>322</v>
      </c>
      <c r="B153" s="33"/>
      <c r="C153" s="33"/>
      <c r="D153" s="117"/>
      <c r="E153" s="86"/>
      <c r="F153" s="32"/>
      <c r="G153" s="49">
        <f>SUM(G119:G152)</f>
        <v>55850</v>
      </c>
      <c r="H153" s="60"/>
      <c r="I153" s="32"/>
      <c r="J153" s="32">
        <f>SUM(J119:J152)</f>
        <v>55350</v>
      </c>
      <c r="K153" s="86"/>
      <c r="L153" s="32"/>
      <c r="M153" s="49">
        <f>SUM(M119:M152)</f>
        <v>57012</v>
      </c>
      <c r="N153" s="86"/>
      <c r="O153" s="32"/>
      <c r="P153" s="49">
        <f>SUM(P119:P152)</f>
        <v>71451</v>
      </c>
      <c r="Q153" s="53"/>
      <c r="R153" s="19">
        <f>G153+J153+M153+P153</f>
        <v>239663</v>
      </c>
      <c r="S153" s="78">
        <f>SUM(R119:R151)</f>
        <v>239663</v>
      </c>
    </row>
    <row r="154" spans="1:59" x14ac:dyDescent="0.25">
      <c r="A154" s="38"/>
      <c r="B154" s="18"/>
      <c r="C154" s="18"/>
      <c r="D154" s="115"/>
      <c r="E154" s="89"/>
      <c r="F154" s="19"/>
      <c r="G154" s="96"/>
      <c r="H154" s="68"/>
      <c r="I154" s="19"/>
      <c r="J154" s="19"/>
      <c r="K154" s="89"/>
      <c r="L154" s="19"/>
      <c r="M154" s="96"/>
      <c r="N154" s="89"/>
      <c r="O154" s="19"/>
      <c r="P154" s="96"/>
      <c r="Q154" s="53"/>
      <c r="R154" s="19"/>
      <c r="S154" s="73"/>
    </row>
    <row r="155" spans="1:59" s="4" customFormat="1" ht="16.5" thickBot="1" x14ac:dyDescent="0.3">
      <c r="A155" s="48" t="s">
        <v>323</v>
      </c>
      <c r="B155" s="24"/>
      <c r="C155" s="24"/>
      <c r="D155" s="116"/>
      <c r="E155" s="93"/>
      <c r="F155" s="25"/>
      <c r="G155" s="46">
        <f>+G153</f>
        <v>55850</v>
      </c>
      <c r="H155" s="64"/>
      <c r="I155" s="25"/>
      <c r="J155" s="25">
        <f>+J153</f>
        <v>55350</v>
      </c>
      <c r="K155" s="93"/>
      <c r="L155" s="25"/>
      <c r="M155" s="46">
        <f>+M153</f>
        <v>57012</v>
      </c>
      <c r="N155" s="93"/>
      <c r="O155" s="25"/>
      <c r="P155" s="46">
        <f>+P153</f>
        <v>71451</v>
      </c>
      <c r="Q155" s="24"/>
      <c r="R155" s="25">
        <f>+R153</f>
        <v>239663</v>
      </c>
      <c r="S155" s="73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1:59" s="4" customFormat="1" ht="16.5" thickTop="1" x14ac:dyDescent="0.25">
      <c r="A156" s="38"/>
      <c r="B156" s="18"/>
      <c r="C156" s="18"/>
      <c r="D156" s="115"/>
      <c r="E156" s="89"/>
      <c r="F156" s="19"/>
      <c r="G156" s="96"/>
      <c r="H156" s="68"/>
      <c r="I156" s="19"/>
      <c r="J156" s="19"/>
      <c r="K156" s="89"/>
      <c r="L156" s="19"/>
      <c r="M156" s="96"/>
      <c r="N156" s="89"/>
      <c r="O156" s="19"/>
      <c r="P156" s="96"/>
      <c r="Q156" s="18"/>
      <c r="R156" s="19"/>
      <c r="S156" s="73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1:59" s="4" customFormat="1" x14ac:dyDescent="0.25">
      <c r="A157" s="38" t="s">
        <v>324</v>
      </c>
      <c r="B157" s="10"/>
      <c r="C157" s="10"/>
      <c r="D157" s="112"/>
      <c r="E157" s="57"/>
      <c r="F157" s="17"/>
      <c r="G157" s="96">
        <f>G36+G42+G78+G83+G89+G113+G155</f>
        <v>128155</v>
      </c>
      <c r="H157" s="58"/>
      <c r="I157" s="19"/>
      <c r="J157" s="19">
        <f>J36+J42+J78+J83+J89+J113+J155</f>
        <v>100275</v>
      </c>
      <c r="K157" s="83"/>
      <c r="L157" s="19"/>
      <c r="M157" s="96">
        <f>M36+M42+M78+M83+M89+M113+M155</f>
        <v>103288</v>
      </c>
      <c r="N157" s="83"/>
      <c r="O157" s="19"/>
      <c r="P157" s="96">
        <f>P36+P42+P78+P83+P89+P113+P155</f>
        <v>134230</v>
      </c>
      <c r="Q157" s="18"/>
      <c r="R157" s="19">
        <f>R36+R42+R78+R83+R89+R113+R155</f>
        <v>465948</v>
      </c>
      <c r="S157" s="73">
        <f>G157+J157+M157+P157</f>
        <v>465948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s="4" customFormat="1" ht="16.5" thickBot="1" x14ac:dyDescent="0.3">
      <c r="A158" s="48"/>
      <c r="B158" s="24"/>
      <c r="C158" s="24"/>
      <c r="D158" s="116"/>
      <c r="E158" s="93"/>
      <c r="F158" s="25"/>
      <c r="G158" s="46"/>
      <c r="H158" s="64"/>
      <c r="I158" s="25"/>
      <c r="J158" s="25"/>
      <c r="K158" s="93"/>
      <c r="L158" s="25"/>
      <c r="M158" s="46"/>
      <c r="N158" s="93"/>
      <c r="O158" s="25"/>
      <c r="P158" s="46"/>
      <c r="Q158" s="24" t="s">
        <v>325</v>
      </c>
      <c r="R158" s="25"/>
      <c r="S158" s="73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s="4" customFormat="1" ht="16.5" thickTop="1" x14ac:dyDescent="0.25">
      <c r="A159" s="74"/>
      <c r="B159" s="10"/>
      <c r="C159" s="10"/>
      <c r="D159" s="112"/>
      <c r="E159" s="57"/>
      <c r="F159" s="17"/>
      <c r="G159" s="27"/>
      <c r="H159" s="56"/>
      <c r="I159" s="17"/>
      <c r="J159" s="17"/>
      <c r="K159" s="57"/>
      <c r="L159" s="17"/>
      <c r="M159" s="27"/>
      <c r="N159" s="57"/>
      <c r="O159" s="17"/>
      <c r="P159" s="27"/>
      <c r="Q159" s="18"/>
      <c r="R159" s="17"/>
      <c r="S159" s="73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s="4" customFormat="1" x14ac:dyDescent="0.25">
      <c r="A160" s="38" t="s">
        <v>326</v>
      </c>
      <c r="B160" s="10" t="s">
        <v>327</v>
      </c>
      <c r="C160" s="106">
        <f>$B$8</f>
        <v>0.25</v>
      </c>
      <c r="D160" s="140"/>
      <c r="E160" s="57"/>
      <c r="F160" s="17"/>
      <c r="G160" s="96">
        <f>G157*$C$160</f>
        <v>32038.75</v>
      </c>
      <c r="H160" s="58"/>
      <c r="I160" s="19"/>
      <c r="J160" s="19">
        <f>J157*$C$160</f>
        <v>25068.75</v>
      </c>
      <c r="K160" s="83"/>
      <c r="L160" s="19"/>
      <c r="M160" s="96">
        <f>M157*$C$160</f>
        <v>25822</v>
      </c>
      <c r="N160" s="83"/>
      <c r="O160" s="19"/>
      <c r="P160" s="96">
        <f>P157*$C$160</f>
        <v>33557.5</v>
      </c>
      <c r="Q160" s="18"/>
      <c r="R160" s="19">
        <f>R157*$C$160</f>
        <v>116487</v>
      </c>
      <c r="S160" s="73">
        <f>G160+J160+M160+P160</f>
        <v>116487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.5" thickBot="1" x14ac:dyDescent="0.3">
      <c r="A161" s="48"/>
      <c r="B161" s="24"/>
      <c r="C161" s="24"/>
      <c r="D161" s="116"/>
      <c r="E161" s="93"/>
      <c r="F161" s="25"/>
      <c r="G161" s="46"/>
      <c r="H161" s="64"/>
      <c r="I161" s="25"/>
      <c r="J161" s="25"/>
      <c r="K161" s="93"/>
      <c r="L161" s="25"/>
      <c r="M161" s="46"/>
      <c r="N161" s="93"/>
      <c r="O161" s="25"/>
      <c r="P161" s="46"/>
      <c r="Q161" s="24"/>
      <c r="R161" s="25"/>
      <c r="S161" s="7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ht="16.5" thickTop="1" x14ac:dyDescent="0.25">
      <c r="A162" s="38"/>
      <c r="B162" s="18"/>
      <c r="C162" s="18"/>
      <c r="D162" s="115"/>
      <c r="E162" s="83"/>
      <c r="F162" s="19"/>
      <c r="G162" s="96"/>
      <c r="H162" s="58"/>
      <c r="I162" s="19"/>
      <c r="J162" s="19"/>
      <c r="K162" s="83"/>
      <c r="L162" s="19"/>
      <c r="M162" s="96"/>
      <c r="N162" s="83"/>
      <c r="O162" s="19"/>
      <c r="P162" s="96"/>
      <c r="Q162" s="18"/>
      <c r="R162" s="19"/>
      <c r="S162" s="73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 x14ac:dyDescent="0.25">
      <c r="A163" s="38" t="s">
        <v>328</v>
      </c>
      <c r="B163" s="18"/>
      <c r="C163" s="18"/>
      <c r="D163" s="115"/>
      <c r="E163" s="83"/>
      <c r="F163" s="19"/>
      <c r="G163" s="104">
        <f>G157+G160</f>
        <v>160193.75</v>
      </c>
      <c r="H163" s="58"/>
      <c r="I163" s="40"/>
      <c r="J163" s="40">
        <f>J157+J160</f>
        <v>125343.75</v>
      </c>
      <c r="K163" s="83"/>
      <c r="L163" s="40"/>
      <c r="M163" s="104">
        <f>M157+M160</f>
        <v>129110</v>
      </c>
      <c r="N163" s="83"/>
      <c r="O163" s="40"/>
      <c r="P163" s="104">
        <f>P157+P160</f>
        <v>167787.5</v>
      </c>
      <c r="Q163" s="18"/>
      <c r="R163" s="40">
        <f>R157+R160</f>
        <v>582435</v>
      </c>
      <c r="S163" s="73">
        <f>SUM(G157:P160)</f>
        <v>582435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ht="16.5" thickBot="1" x14ac:dyDescent="0.3">
      <c r="A164" s="169" t="s">
        <v>329</v>
      </c>
      <c r="B164" s="13"/>
      <c r="C164" s="13"/>
      <c r="D164" s="113"/>
      <c r="E164" s="94"/>
      <c r="F164" s="21"/>
      <c r="G164" s="105"/>
      <c r="H164" s="69"/>
      <c r="I164" s="21"/>
      <c r="J164" s="41"/>
      <c r="K164" s="94"/>
      <c r="L164" s="21"/>
      <c r="M164" s="105"/>
      <c r="N164" s="94"/>
      <c r="O164" s="21"/>
      <c r="P164" s="105"/>
      <c r="Q164" s="24"/>
      <c r="R164" s="41"/>
      <c r="S164" s="7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ht="16.5" thickTop="1" x14ac:dyDescent="0.25">
      <c r="A165" s="1" t="s">
        <v>330</v>
      </c>
      <c r="B165" s="1"/>
      <c r="C165" s="139"/>
      <c r="D165" s="139"/>
      <c r="E165" s="50"/>
      <c r="F165" s="1"/>
      <c r="G165" s="1"/>
      <c r="H165" s="50"/>
      <c r="I165" s="1"/>
      <c r="J165" s="1"/>
      <c r="K165" s="50"/>
      <c r="L165" s="1"/>
      <c r="M165" s="1"/>
      <c r="N165" s="50"/>
      <c r="O165" s="1"/>
      <c r="P165" s="1"/>
      <c r="Q165" s="3"/>
      <c r="R165" s="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s="1" customFormat="1" x14ac:dyDescent="0.25">
      <c r="E166" s="50"/>
      <c r="H166" s="50"/>
      <c r="K166" s="50"/>
      <c r="N166" s="50"/>
      <c r="Q166" s="3"/>
      <c r="R166" s="3"/>
      <c r="S166" s="4"/>
    </row>
    <row r="167" spans="1:59" s="1" customFormat="1" x14ac:dyDescent="0.25">
      <c r="E167" s="50"/>
      <c r="H167" s="50"/>
      <c r="K167" s="50"/>
      <c r="N167" s="50"/>
      <c r="Q167" s="3"/>
      <c r="R167" s="3"/>
      <c r="S167" s="4"/>
    </row>
    <row r="168" spans="1:59" s="1" customFormat="1" x14ac:dyDescent="0.25">
      <c r="E168" s="50"/>
      <c r="H168" s="50"/>
      <c r="K168" s="50"/>
      <c r="N168" s="50"/>
      <c r="Q168" s="3"/>
      <c r="R168" s="3"/>
      <c r="S168" s="4"/>
    </row>
  </sheetData>
  <mergeCells count="9">
    <mergeCell ref="E11:J11"/>
    <mergeCell ref="K11:M11"/>
    <mergeCell ref="N11:P11"/>
    <mergeCell ref="Q13:R13"/>
    <mergeCell ref="E14:G14"/>
    <mergeCell ref="H14:J14"/>
    <mergeCell ref="K14:M14"/>
    <mergeCell ref="N14:P14"/>
    <mergeCell ref="Q14:R14"/>
  </mergeCells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168"/>
  <sheetViews>
    <sheetView zoomScale="55" zoomScaleNormal="55" workbookViewId="0">
      <pane xSplit="4" ySplit="15" topLeftCell="E52" activePane="bottomRight" state="frozen"/>
      <selection pane="topRight" activeCell="E1" sqref="E1"/>
      <selection pane="bottomLeft" activeCell="A16" sqref="A16"/>
      <selection pane="bottomRight" activeCell="C31" sqref="C31"/>
    </sheetView>
  </sheetViews>
  <sheetFormatPr defaultColWidth="11.28515625" defaultRowHeight="15.75" x14ac:dyDescent="0.25"/>
  <cols>
    <col min="1" max="1" width="62.7109375" style="5" customWidth="1"/>
    <col min="2" max="2" width="29.85546875" style="5" customWidth="1"/>
    <col min="3" max="3" width="114" style="5" customWidth="1"/>
    <col min="4" max="4" width="20.5703125" style="5" customWidth="1"/>
    <col min="5" max="5" width="10.5703125" style="63" customWidth="1"/>
    <col min="6" max="6" width="21" style="5" customWidth="1"/>
    <col min="7" max="7" width="18.42578125" style="5" customWidth="1"/>
    <col min="8" max="8" width="11.7109375" style="63" customWidth="1"/>
    <col min="9" max="9" width="21" style="5" customWidth="1"/>
    <col min="10" max="10" width="18.42578125" style="5" customWidth="1"/>
    <col min="11" max="11" width="11.7109375" style="63" customWidth="1"/>
    <col min="12" max="12" width="21" style="5" customWidth="1"/>
    <col min="13" max="13" width="18.42578125" style="5" customWidth="1"/>
    <col min="14" max="14" width="11.7109375" style="63" customWidth="1"/>
    <col min="15" max="15" width="21" style="5" customWidth="1"/>
    <col min="16" max="16" width="18.42578125" style="5" customWidth="1"/>
    <col min="17" max="17" width="10.7109375" style="20" customWidth="1"/>
    <col min="18" max="18" width="20.85546875" style="20" customWidth="1"/>
    <col min="19" max="19" width="11.28515625" style="4"/>
    <col min="20" max="16384" width="11.28515625" style="5"/>
  </cols>
  <sheetData>
    <row r="1" spans="1:19" x14ac:dyDescent="0.25">
      <c r="A1" s="82" t="s">
        <v>331</v>
      </c>
      <c r="B1" s="1"/>
      <c r="C1" s="1"/>
      <c r="D1" s="1"/>
      <c r="E1" s="50"/>
      <c r="F1" s="1"/>
      <c r="G1" s="1"/>
      <c r="H1" s="50"/>
      <c r="I1" s="1"/>
      <c r="J1" s="1"/>
      <c r="K1" s="50"/>
      <c r="L1" s="1"/>
      <c r="M1" s="1"/>
      <c r="N1" s="50"/>
      <c r="O1" s="1"/>
      <c r="P1" s="1"/>
      <c r="Q1" s="3"/>
      <c r="R1" s="3"/>
    </row>
    <row r="2" spans="1:19" ht="15" customHeight="1" x14ac:dyDescent="0.25">
      <c r="A2" s="82"/>
      <c r="B2" s="1"/>
      <c r="C2" s="1"/>
      <c r="D2" s="1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  <c r="Q2" s="3"/>
      <c r="R2" s="3"/>
    </row>
    <row r="3" spans="1:19" ht="15" customHeight="1" x14ac:dyDescent="0.25">
      <c r="A3" s="81" t="s">
        <v>332</v>
      </c>
      <c r="B3" s="1"/>
      <c r="C3" s="1"/>
      <c r="D3" s="1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3"/>
      <c r="R3" s="6">
        <f ca="1">NOW()</f>
        <v>42445.612712499998</v>
      </c>
    </row>
    <row r="4" spans="1:19" ht="15" customHeight="1" x14ac:dyDescent="0.25">
      <c r="A4" s="82" t="s">
        <v>333</v>
      </c>
      <c r="B4" s="1"/>
      <c r="C4" s="1"/>
      <c r="D4" s="1"/>
      <c r="E4" s="50"/>
      <c r="F4" s="50"/>
      <c r="G4" s="50"/>
      <c r="H4" s="50"/>
      <c r="I4" s="50"/>
      <c r="J4" s="50"/>
      <c r="K4" s="50"/>
      <c r="L4" s="50"/>
      <c r="M4" s="50"/>
      <c r="N4" s="50"/>
      <c r="O4" s="1"/>
      <c r="P4" s="1"/>
      <c r="Q4" s="3"/>
      <c r="R4" s="7"/>
    </row>
    <row r="5" spans="1:19" ht="15" customHeight="1" x14ac:dyDescent="0.25">
      <c r="A5" s="82" t="s">
        <v>334</v>
      </c>
      <c r="B5" s="1"/>
      <c r="C5" s="2"/>
      <c r="D5" s="2"/>
      <c r="E5" s="50"/>
      <c r="F5" s="50"/>
      <c r="G5" s="50"/>
      <c r="H5" s="50"/>
      <c r="I5" s="50"/>
      <c r="J5" s="50"/>
      <c r="K5" s="50"/>
      <c r="L5" s="50"/>
      <c r="M5" s="50"/>
      <c r="N5" s="50"/>
      <c r="O5" s="1"/>
      <c r="P5" s="1"/>
      <c r="Q5" s="3"/>
      <c r="R5" s="3"/>
    </row>
    <row r="6" spans="1:19" x14ac:dyDescent="0.25">
      <c r="A6" s="81" t="s">
        <v>335</v>
      </c>
      <c r="B6" s="82"/>
      <c r="C6" s="82"/>
      <c r="D6" s="1"/>
      <c r="E6" s="50"/>
      <c r="F6" s="1"/>
      <c r="G6" s="1"/>
      <c r="H6" s="50"/>
      <c r="I6" s="1"/>
      <c r="J6" s="1"/>
      <c r="K6" s="50"/>
      <c r="L6" s="1"/>
      <c r="M6" s="1"/>
      <c r="N6" s="50"/>
      <c r="O6" s="1"/>
      <c r="P6" s="1"/>
      <c r="Q6" s="3"/>
      <c r="R6" s="7"/>
    </row>
    <row r="7" spans="1:19" x14ac:dyDescent="0.25">
      <c r="A7" s="128" t="s">
        <v>336</v>
      </c>
      <c r="B7" s="129">
        <v>0.15</v>
      </c>
      <c r="C7" s="130" t="s">
        <v>337</v>
      </c>
      <c r="D7" s="1"/>
      <c r="E7" s="50"/>
      <c r="F7" s="1"/>
      <c r="G7" s="1"/>
      <c r="H7" s="50"/>
      <c r="I7" s="1"/>
      <c r="J7" s="1"/>
      <c r="K7" s="50"/>
      <c r="L7" s="1"/>
      <c r="M7" s="1"/>
      <c r="N7" s="50"/>
      <c r="O7" s="1"/>
      <c r="P7" s="1"/>
      <c r="Q7" s="3"/>
      <c r="R7" s="7"/>
    </row>
    <row r="8" spans="1:19" x14ac:dyDescent="0.25">
      <c r="A8" s="131" t="s">
        <v>338</v>
      </c>
      <c r="B8" s="132">
        <v>0.25</v>
      </c>
      <c r="C8" s="125" t="s">
        <v>339</v>
      </c>
      <c r="D8" s="1"/>
      <c r="E8" s="50"/>
      <c r="F8" s="1"/>
      <c r="G8" s="1"/>
      <c r="H8" s="50"/>
      <c r="I8" s="1"/>
      <c r="J8" s="1"/>
      <c r="K8" s="50"/>
      <c r="L8" s="1"/>
      <c r="M8" s="1"/>
      <c r="N8" s="50"/>
      <c r="O8" s="1"/>
      <c r="P8" s="1"/>
      <c r="Q8" s="3"/>
      <c r="R8" s="7"/>
    </row>
    <row r="9" spans="1:19" x14ac:dyDescent="0.25">
      <c r="A9" s="131" t="s">
        <v>340</v>
      </c>
      <c r="B9" s="132">
        <v>0.03</v>
      </c>
      <c r="C9" s="125" t="s">
        <v>341</v>
      </c>
      <c r="D9" s="1"/>
      <c r="E9" s="50"/>
      <c r="F9" s="1"/>
      <c r="G9" s="1"/>
      <c r="H9" s="50"/>
      <c r="I9" s="1"/>
      <c r="J9" s="1"/>
      <c r="K9" s="50"/>
      <c r="L9" s="1"/>
      <c r="M9" s="1"/>
      <c r="N9" s="50"/>
      <c r="O9" s="1"/>
      <c r="P9" s="1"/>
      <c r="Q9" s="3"/>
      <c r="R9" s="7"/>
    </row>
    <row r="10" spans="1:19" x14ac:dyDescent="0.25">
      <c r="A10" s="133" t="s">
        <v>342</v>
      </c>
      <c r="B10" s="134">
        <v>2</v>
      </c>
      <c r="C10" s="135" t="s">
        <v>343</v>
      </c>
      <c r="D10" s="1"/>
      <c r="E10" s="50"/>
      <c r="F10" s="1"/>
      <c r="G10" s="1"/>
      <c r="H10" s="50"/>
      <c r="I10" s="1"/>
      <c r="J10" s="1"/>
      <c r="K10" s="50"/>
      <c r="L10" s="1"/>
      <c r="M10" s="1"/>
      <c r="N10" s="50"/>
      <c r="O10" s="1"/>
      <c r="P10" s="1"/>
      <c r="Q10" s="3"/>
      <c r="R10" s="7"/>
    </row>
    <row r="11" spans="1:19" s="20" customFormat="1" ht="18.75" x14ac:dyDescent="0.25">
      <c r="A11" s="80"/>
      <c r="B11" s="141"/>
      <c r="C11" s="3"/>
      <c r="D11" s="3"/>
      <c r="E11" s="192" t="s">
        <v>344</v>
      </c>
      <c r="F11" s="193"/>
      <c r="G11" s="193"/>
      <c r="H11" s="193"/>
      <c r="I11" s="193"/>
      <c r="J11" s="194"/>
      <c r="K11" s="192" t="s">
        <v>345</v>
      </c>
      <c r="L11" s="193"/>
      <c r="M11" s="194"/>
      <c r="N11" s="192" t="s">
        <v>346</v>
      </c>
      <c r="O11" s="193"/>
      <c r="P11" s="194"/>
      <c r="Q11" s="3"/>
      <c r="R11" s="7"/>
      <c r="S11" s="142"/>
    </row>
    <row r="12" spans="1:19" x14ac:dyDescent="0.25">
      <c r="A12" s="166"/>
      <c r="B12" s="8"/>
      <c r="C12" s="8"/>
      <c r="D12" s="111" t="s">
        <v>347</v>
      </c>
      <c r="E12" s="143"/>
      <c r="F12" s="144"/>
      <c r="G12" s="130"/>
      <c r="H12" s="109"/>
      <c r="I12" s="8"/>
      <c r="J12" s="8"/>
      <c r="K12" s="143"/>
      <c r="L12" s="144"/>
      <c r="M12" s="130"/>
      <c r="N12" s="143"/>
      <c r="O12" s="144"/>
      <c r="P12" s="130"/>
      <c r="Q12" s="150"/>
      <c r="R12" s="9"/>
    </row>
    <row r="13" spans="1:19" x14ac:dyDescent="0.25">
      <c r="A13" s="160" t="s">
        <v>348</v>
      </c>
      <c r="B13" s="10"/>
      <c r="C13" s="10"/>
      <c r="D13" s="112" t="s">
        <v>349</v>
      </c>
      <c r="E13" s="90"/>
      <c r="F13" s="11" t="s">
        <v>350</v>
      </c>
      <c r="G13" s="125"/>
      <c r="H13" s="54"/>
      <c r="I13" s="11" t="s">
        <v>351</v>
      </c>
      <c r="J13" s="10"/>
      <c r="K13" s="90"/>
      <c r="L13" s="11" t="s">
        <v>352</v>
      </c>
      <c r="M13" s="125"/>
      <c r="N13" s="90"/>
      <c r="O13" s="11" t="s">
        <v>353</v>
      </c>
      <c r="P13" s="125"/>
      <c r="Q13" s="195" t="s">
        <v>354</v>
      </c>
      <c r="R13" s="196"/>
      <c r="S13" s="4" t="s">
        <v>355</v>
      </c>
    </row>
    <row r="14" spans="1:19" x14ac:dyDescent="0.25">
      <c r="A14" s="168"/>
      <c r="B14" s="12"/>
      <c r="C14" s="10"/>
      <c r="D14" s="112" t="s">
        <v>356</v>
      </c>
      <c r="E14" s="197" t="s">
        <v>357</v>
      </c>
      <c r="F14" s="198"/>
      <c r="G14" s="199"/>
      <c r="H14" s="198" t="s">
        <v>358</v>
      </c>
      <c r="I14" s="198"/>
      <c r="J14" s="198"/>
      <c r="K14" s="197" t="s">
        <v>359</v>
      </c>
      <c r="L14" s="198"/>
      <c r="M14" s="199"/>
      <c r="N14" s="197" t="s">
        <v>360</v>
      </c>
      <c r="O14" s="198"/>
      <c r="P14" s="199"/>
      <c r="Q14" s="195" t="s">
        <v>361</v>
      </c>
      <c r="R14" s="196"/>
    </row>
    <row r="15" spans="1:19" ht="16.5" thickBot="1" x14ac:dyDescent="0.3">
      <c r="A15" s="169" t="s">
        <v>362</v>
      </c>
      <c r="B15" s="13"/>
      <c r="C15" s="13"/>
      <c r="D15" s="113" t="s">
        <v>363</v>
      </c>
      <c r="E15" s="118" t="s">
        <v>364</v>
      </c>
      <c r="F15" s="14" t="s">
        <v>365</v>
      </c>
      <c r="G15" s="126" t="s">
        <v>366</v>
      </c>
      <c r="H15" s="110" t="s">
        <v>367</v>
      </c>
      <c r="I15" s="14" t="s">
        <v>368</v>
      </c>
      <c r="J15" s="14" t="s">
        <v>369</v>
      </c>
      <c r="K15" s="118" t="s">
        <v>370</v>
      </c>
      <c r="L15" s="14" t="s">
        <v>371</v>
      </c>
      <c r="M15" s="126" t="s">
        <v>372</v>
      </c>
      <c r="N15" s="118" t="s">
        <v>373</v>
      </c>
      <c r="O15" s="14" t="s">
        <v>374</v>
      </c>
      <c r="P15" s="126" t="s">
        <v>375</v>
      </c>
      <c r="Q15" s="151" t="s">
        <v>376</v>
      </c>
      <c r="R15" s="15" t="s">
        <v>377</v>
      </c>
    </row>
    <row r="16" spans="1:19" ht="16.5" thickTop="1" x14ac:dyDescent="0.25">
      <c r="A16" s="168"/>
      <c r="B16" s="12"/>
      <c r="C16" s="10"/>
      <c r="D16" s="112"/>
      <c r="E16" s="90"/>
      <c r="F16" s="12"/>
      <c r="G16" s="127"/>
      <c r="H16" s="121"/>
      <c r="I16" s="12"/>
      <c r="J16" s="12"/>
      <c r="K16" s="119"/>
      <c r="L16" s="12"/>
      <c r="M16" s="127"/>
      <c r="N16" s="119"/>
      <c r="O16" s="12"/>
      <c r="P16" s="127"/>
      <c r="Q16" s="18"/>
      <c r="R16" s="70"/>
      <c r="S16" s="73"/>
    </row>
    <row r="17" spans="1:19" x14ac:dyDescent="0.25">
      <c r="A17" s="38" t="s">
        <v>378</v>
      </c>
      <c r="B17" s="10"/>
      <c r="C17" s="10"/>
      <c r="D17" s="112"/>
      <c r="E17" s="90"/>
      <c r="F17" s="10"/>
      <c r="G17" s="125"/>
      <c r="H17" s="54"/>
      <c r="I17" s="10"/>
      <c r="J17" s="10"/>
      <c r="K17" s="90"/>
      <c r="L17" s="10"/>
      <c r="M17" s="125"/>
      <c r="N17" s="90"/>
      <c r="O17" s="10"/>
      <c r="P17" s="125"/>
      <c r="Q17" s="152"/>
      <c r="R17" s="18"/>
      <c r="S17" s="73"/>
    </row>
    <row r="18" spans="1:19" x14ac:dyDescent="0.25">
      <c r="A18" s="38"/>
      <c r="B18" s="10"/>
      <c r="C18" s="10"/>
      <c r="D18" s="112"/>
      <c r="E18" s="145" t="s">
        <v>379</v>
      </c>
      <c r="F18" s="10"/>
      <c r="G18" s="125"/>
      <c r="H18" s="54"/>
      <c r="I18" s="10"/>
      <c r="J18" s="10"/>
      <c r="K18" s="90"/>
      <c r="L18" s="10"/>
      <c r="M18" s="125"/>
      <c r="N18" s="90"/>
      <c r="O18" s="10"/>
      <c r="P18" s="125"/>
      <c r="Q18" s="153" t="s">
        <v>380</v>
      </c>
      <c r="R18" s="18"/>
      <c r="S18" s="73"/>
    </row>
    <row r="19" spans="1:19" x14ac:dyDescent="0.25">
      <c r="A19" s="38" t="s">
        <v>381</v>
      </c>
      <c r="B19" s="10"/>
      <c r="C19" s="10"/>
      <c r="D19" s="112"/>
      <c r="E19" s="51"/>
      <c r="F19" s="17"/>
      <c r="G19" s="27"/>
      <c r="H19" s="53"/>
      <c r="I19" s="17"/>
      <c r="J19" s="17"/>
      <c r="K19" s="51"/>
      <c r="L19" s="17"/>
      <c r="M19" s="27"/>
      <c r="N19" s="51"/>
      <c r="O19" s="17"/>
      <c r="P19" s="27"/>
      <c r="Q19" s="53"/>
      <c r="R19" s="19"/>
      <c r="S19" s="73"/>
    </row>
    <row r="20" spans="1:19" x14ac:dyDescent="0.25">
      <c r="A20" s="30" t="s">
        <v>382</v>
      </c>
      <c r="B20" s="10"/>
      <c r="C20" s="10"/>
      <c r="D20" s="112" t="s">
        <v>383</v>
      </c>
      <c r="E20" s="51">
        <v>25</v>
      </c>
      <c r="F20" s="17">
        <v>600</v>
      </c>
      <c r="G20" s="27">
        <f t="shared" ref="G20:G25" si="0">ROUND((+E20*F20),0)</f>
        <v>15000</v>
      </c>
      <c r="H20" s="53">
        <v>3</v>
      </c>
      <c r="I20" s="17">
        <f t="shared" ref="I20:I25" si="1">F20</f>
        <v>600</v>
      </c>
      <c r="J20" s="17">
        <f t="shared" ref="J20:J25" si="2">ROUND((+H20*I20),0)</f>
        <v>1800</v>
      </c>
      <c r="K20" s="51">
        <v>3</v>
      </c>
      <c r="L20" s="17">
        <f t="shared" ref="L20:L25" si="3">I20*(1+$B$9)</f>
        <v>618</v>
      </c>
      <c r="M20" s="27">
        <f t="shared" ref="M20:M25" si="4">ROUND((+K20*L20),0)</f>
        <v>1854</v>
      </c>
      <c r="N20" s="51">
        <v>18</v>
      </c>
      <c r="O20" s="17">
        <f t="shared" ref="O20:O25" si="5">L20*(1+$B$9)</f>
        <v>636.54</v>
      </c>
      <c r="P20" s="27">
        <f t="shared" ref="P20:P25" si="6">ROUND((+N20*O20),0)</f>
        <v>11458</v>
      </c>
      <c r="Q20" s="53">
        <f t="shared" ref="Q20:Q25" si="7">E20+H20+K20+N20</f>
        <v>49</v>
      </c>
      <c r="R20" s="19">
        <f t="shared" ref="R20:R25" si="8">G20+J20+M20+P20</f>
        <v>30112</v>
      </c>
      <c r="S20" s="74"/>
    </row>
    <row r="21" spans="1:19" x14ac:dyDescent="0.25">
      <c r="A21" s="30" t="s">
        <v>384</v>
      </c>
      <c r="B21" s="10"/>
      <c r="C21" s="10"/>
      <c r="D21" s="112" t="s">
        <v>385</v>
      </c>
      <c r="E21" s="51">
        <v>2</v>
      </c>
      <c r="F21" s="17">
        <v>600</v>
      </c>
      <c r="G21" s="27">
        <f t="shared" si="0"/>
        <v>1200</v>
      </c>
      <c r="H21" s="53">
        <v>2</v>
      </c>
      <c r="I21" s="17">
        <f t="shared" si="1"/>
        <v>600</v>
      </c>
      <c r="J21" s="17">
        <f t="shared" si="2"/>
        <v>1200</v>
      </c>
      <c r="K21" s="51">
        <v>2</v>
      </c>
      <c r="L21" s="17">
        <f t="shared" si="3"/>
        <v>618</v>
      </c>
      <c r="M21" s="27">
        <f t="shared" si="4"/>
        <v>1236</v>
      </c>
      <c r="N21" s="51">
        <v>2</v>
      </c>
      <c r="O21" s="17">
        <f t="shared" si="5"/>
        <v>636.54</v>
      </c>
      <c r="P21" s="27">
        <f t="shared" si="6"/>
        <v>1273</v>
      </c>
      <c r="Q21" s="53">
        <f t="shared" si="7"/>
        <v>8</v>
      </c>
      <c r="R21" s="19">
        <f t="shared" si="8"/>
        <v>4909</v>
      </c>
      <c r="S21" s="74"/>
    </row>
    <row r="22" spans="1:19" x14ac:dyDescent="0.25">
      <c r="A22" s="170" t="s">
        <v>386</v>
      </c>
      <c r="B22" s="10"/>
      <c r="C22" s="107" t="s">
        <v>387</v>
      </c>
      <c r="D22" s="114" t="s">
        <v>388</v>
      </c>
      <c r="E22" s="51">
        <f>$B$10*2</f>
        <v>4</v>
      </c>
      <c r="F22" s="17">
        <v>600</v>
      </c>
      <c r="G22" s="27">
        <f t="shared" si="0"/>
        <v>2400</v>
      </c>
      <c r="H22" s="53">
        <f>$B$10*2</f>
        <v>4</v>
      </c>
      <c r="I22" s="17">
        <f t="shared" si="1"/>
        <v>600</v>
      </c>
      <c r="J22" s="17">
        <f t="shared" si="2"/>
        <v>2400</v>
      </c>
      <c r="K22" s="51">
        <f>$B$10*2</f>
        <v>4</v>
      </c>
      <c r="L22" s="17">
        <f t="shared" si="3"/>
        <v>618</v>
      </c>
      <c r="M22" s="27">
        <f t="shared" si="4"/>
        <v>2472</v>
      </c>
      <c r="N22" s="51">
        <f>$B$10*2</f>
        <v>4</v>
      </c>
      <c r="O22" s="17">
        <f t="shared" si="5"/>
        <v>636.54</v>
      </c>
      <c r="P22" s="27">
        <f t="shared" si="6"/>
        <v>2546</v>
      </c>
      <c r="Q22" s="53">
        <f t="shared" si="7"/>
        <v>16</v>
      </c>
      <c r="R22" s="19">
        <f t="shared" si="8"/>
        <v>9818</v>
      </c>
      <c r="S22" s="74"/>
    </row>
    <row r="23" spans="1:19" x14ac:dyDescent="0.25">
      <c r="A23" s="30" t="s">
        <v>389</v>
      </c>
      <c r="B23" s="10"/>
      <c r="C23" s="10"/>
      <c r="D23" s="112" t="s">
        <v>390</v>
      </c>
      <c r="E23" s="51">
        <v>12</v>
      </c>
      <c r="F23" s="17">
        <v>300</v>
      </c>
      <c r="G23" s="27">
        <f t="shared" si="0"/>
        <v>3600</v>
      </c>
      <c r="H23" s="53">
        <v>12</v>
      </c>
      <c r="I23" s="17">
        <f t="shared" si="1"/>
        <v>300</v>
      </c>
      <c r="J23" s="17">
        <f t="shared" si="2"/>
        <v>3600</v>
      </c>
      <c r="K23" s="51">
        <v>12</v>
      </c>
      <c r="L23" s="17">
        <f t="shared" si="3"/>
        <v>309</v>
      </c>
      <c r="M23" s="27">
        <f t="shared" si="4"/>
        <v>3708</v>
      </c>
      <c r="N23" s="51">
        <v>12</v>
      </c>
      <c r="O23" s="17">
        <f t="shared" si="5"/>
        <v>318.27</v>
      </c>
      <c r="P23" s="27">
        <f t="shared" si="6"/>
        <v>3819</v>
      </c>
      <c r="Q23" s="53">
        <f t="shared" si="7"/>
        <v>48</v>
      </c>
      <c r="R23" s="19">
        <f t="shared" si="8"/>
        <v>14727</v>
      </c>
      <c r="S23" s="74"/>
    </row>
    <row r="24" spans="1:19" x14ac:dyDescent="0.25">
      <c r="A24" s="30" t="s">
        <v>391</v>
      </c>
      <c r="B24" s="10"/>
      <c r="C24" s="10"/>
      <c r="D24" s="112" t="s">
        <v>392</v>
      </c>
      <c r="E24" s="51">
        <v>6</v>
      </c>
      <c r="F24" s="17">
        <v>450</v>
      </c>
      <c r="G24" s="27">
        <f t="shared" si="0"/>
        <v>2700</v>
      </c>
      <c r="H24" s="53">
        <v>6</v>
      </c>
      <c r="I24" s="17">
        <f t="shared" si="1"/>
        <v>450</v>
      </c>
      <c r="J24" s="17">
        <f t="shared" si="2"/>
        <v>2700</v>
      </c>
      <c r="K24" s="51">
        <v>6</v>
      </c>
      <c r="L24" s="17">
        <f t="shared" si="3"/>
        <v>463.5</v>
      </c>
      <c r="M24" s="27">
        <f t="shared" si="4"/>
        <v>2781</v>
      </c>
      <c r="N24" s="51">
        <v>6</v>
      </c>
      <c r="O24" s="17">
        <f t="shared" si="5"/>
        <v>477.40500000000003</v>
      </c>
      <c r="P24" s="27">
        <f t="shared" si="6"/>
        <v>2864</v>
      </c>
      <c r="Q24" s="53">
        <f t="shared" si="7"/>
        <v>24</v>
      </c>
      <c r="R24" s="19">
        <f t="shared" si="8"/>
        <v>11045</v>
      </c>
      <c r="S24" s="74"/>
    </row>
    <row r="25" spans="1:19" x14ac:dyDescent="0.25">
      <c r="A25" s="30" t="s">
        <v>393</v>
      </c>
      <c r="B25" s="10"/>
      <c r="C25" s="10"/>
      <c r="D25" s="112" t="s">
        <v>394</v>
      </c>
      <c r="E25" s="51">
        <v>6</v>
      </c>
      <c r="F25" s="17">
        <v>300</v>
      </c>
      <c r="G25" s="27">
        <f t="shared" si="0"/>
        <v>1800</v>
      </c>
      <c r="H25" s="53">
        <v>6</v>
      </c>
      <c r="I25" s="17">
        <f t="shared" si="1"/>
        <v>300</v>
      </c>
      <c r="J25" s="17">
        <f t="shared" si="2"/>
        <v>1800</v>
      </c>
      <c r="K25" s="51">
        <v>6</v>
      </c>
      <c r="L25" s="17">
        <f t="shared" si="3"/>
        <v>309</v>
      </c>
      <c r="M25" s="27">
        <f t="shared" si="4"/>
        <v>1854</v>
      </c>
      <c r="N25" s="51">
        <v>6</v>
      </c>
      <c r="O25" s="17">
        <f t="shared" si="5"/>
        <v>318.27</v>
      </c>
      <c r="P25" s="27">
        <f t="shared" si="6"/>
        <v>1910</v>
      </c>
      <c r="Q25" s="53">
        <f t="shared" si="7"/>
        <v>24</v>
      </c>
      <c r="R25" s="19">
        <f t="shared" si="8"/>
        <v>7364</v>
      </c>
      <c r="S25" s="74"/>
    </row>
    <row r="26" spans="1:19" x14ac:dyDescent="0.25">
      <c r="A26" s="38"/>
      <c r="B26" s="10"/>
      <c r="C26" s="10"/>
      <c r="D26" s="112"/>
      <c r="E26" s="51"/>
      <c r="F26" s="17"/>
      <c r="G26" s="27"/>
      <c r="H26" s="53"/>
      <c r="I26" s="17"/>
      <c r="J26" s="17"/>
      <c r="K26" s="51"/>
      <c r="L26" s="17"/>
      <c r="M26" s="27"/>
      <c r="N26" s="51"/>
      <c r="O26" s="17"/>
      <c r="P26" s="27"/>
      <c r="Q26" s="53"/>
      <c r="R26" s="19"/>
      <c r="S26" s="73"/>
    </row>
    <row r="27" spans="1:19" s="20" customFormat="1" x14ac:dyDescent="0.25">
      <c r="A27" s="161" t="s">
        <v>395</v>
      </c>
      <c r="B27" s="18"/>
      <c r="C27" s="18"/>
      <c r="D27" s="115"/>
      <c r="E27" s="51"/>
      <c r="F27" s="19"/>
      <c r="G27" s="96">
        <f>SUM(G20:G26)</f>
        <v>26700</v>
      </c>
      <c r="H27" s="53"/>
      <c r="I27" s="19"/>
      <c r="J27" s="19">
        <f>SUM(J20:J26)</f>
        <v>13500</v>
      </c>
      <c r="K27" s="51"/>
      <c r="L27" s="19"/>
      <c r="M27" s="96">
        <f>SUM(M20:M26)</f>
        <v>13905</v>
      </c>
      <c r="N27" s="51"/>
      <c r="O27" s="19"/>
      <c r="P27" s="96">
        <f>SUM(P20:P26)</f>
        <v>23870</v>
      </c>
      <c r="Q27" s="42"/>
      <c r="R27" s="19">
        <f>SUM(R20:R26)</f>
        <v>77975</v>
      </c>
      <c r="S27" s="75"/>
    </row>
    <row r="28" spans="1:19" s="20" customFormat="1" x14ac:dyDescent="0.25">
      <c r="A28" s="161"/>
      <c r="B28" s="18"/>
      <c r="C28" s="18"/>
      <c r="D28" s="115"/>
      <c r="E28" s="51"/>
      <c r="F28" s="19"/>
      <c r="G28" s="96"/>
      <c r="H28" s="53"/>
      <c r="I28" s="19"/>
      <c r="J28" s="19"/>
      <c r="K28" s="51"/>
      <c r="L28" s="19"/>
      <c r="M28" s="96"/>
      <c r="N28" s="51"/>
      <c r="O28" s="19"/>
      <c r="P28" s="96"/>
      <c r="Q28" s="42"/>
      <c r="R28" s="19"/>
      <c r="S28" s="75"/>
    </row>
    <row r="29" spans="1:19" x14ac:dyDescent="0.25">
      <c r="A29" s="38" t="s">
        <v>396</v>
      </c>
      <c r="B29" s="10"/>
      <c r="C29" s="10"/>
      <c r="D29" s="112"/>
      <c r="E29" s="51"/>
      <c r="F29" s="17"/>
      <c r="G29" s="27"/>
      <c r="H29" s="53"/>
      <c r="I29" s="17"/>
      <c r="J29" s="17"/>
      <c r="K29" s="51"/>
      <c r="L29" s="17"/>
      <c r="M29" s="27"/>
      <c r="N29" s="51"/>
      <c r="O29" s="17"/>
      <c r="P29" s="27"/>
      <c r="Q29" s="154"/>
      <c r="R29" s="19"/>
      <c r="S29" s="73"/>
    </row>
    <row r="30" spans="1:19" x14ac:dyDescent="0.25">
      <c r="A30" s="30" t="s">
        <v>397</v>
      </c>
      <c r="B30" s="10"/>
      <c r="C30" s="10"/>
      <c r="D30" s="112" t="s">
        <v>398</v>
      </c>
      <c r="E30" s="51">
        <v>10</v>
      </c>
      <c r="F30" s="17">
        <v>250</v>
      </c>
      <c r="G30" s="27">
        <f>ROUND((+E30*F30),0)</f>
        <v>2500</v>
      </c>
      <c r="H30" s="53">
        <v>6</v>
      </c>
      <c r="I30" s="17">
        <f>F30</f>
        <v>250</v>
      </c>
      <c r="J30" s="17">
        <f>ROUND((+H30*I30),0)</f>
        <v>1500</v>
      </c>
      <c r="K30" s="51">
        <v>6</v>
      </c>
      <c r="L30" s="17">
        <f>I30*(1+$B$9)</f>
        <v>257.5</v>
      </c>
      <c r="M30" s="27">
        <f>ROUND((+K30*L30),0)</f>
        <v>1545</v>
      </c>
      <c r="N30" s="51">
        <v>6</v>
      </c>
      <c r="O30" s="17">
        <f>L30*(1+$B$9)</f>
        <v>265.22500000000002</v>
      </c>
      <c r="P30" s="27">
        <f>ROUND((+N30*O30),0)</f>
        <v>1591</v>
      </c>
      <c r="Q30" s="53">
        <f>E30+H30+K30+N30</f>
        <v>28</v>
      </c>
      <c r="R30" s="19">
        <f>G30+J30+M30+P30</f>
        <v>7136</v>
      </c>
      <c r="S30" s="74"/>
    </row>
    <row r="31" spans="1:19" x14ac:dyDescent="0.25">
      <c r="A31" s="30" t="s">
        <v>399</v>
      </c>
      <c r="B31" s="10"/>
      <c r="C31" s="10"/>
      <c r="D31" s="112" t="s">
        <v>400</v>
      </c>
      <c r="E31" s="51">
        <v>7</v>
      </c>
      <c r="F31" s="17">
        <v>250</v>
      </c>
      <c r="G31" s="27">
        <f t="shared" ref="G31:G32" si="9">ROUND((+E31*F31),0)</f>
        <v>1750</v>
      </c>
      <c r="H31" s="53">
        <v>7</v>
      </c>
      <c r="I31" s="17">
        <f t="shared" ref="I31:I32" si="10">F31</f>
        <v>250</v>
      </c>
      <c r="J31" s="17">
        <f t="shared" ref="J31:J32" si="11">ROUND((+H31*I31),0)</f>
        <v>1750</v>
      </c>
      <c r="K31" s="51">
        <v>7</v>
      </c>
      <c r="L31" s="17">
        <f t="shared" ref="L31:L32" si="12">I31*(1+$B$9)</f>
        <v>257.5</v>
      </c>
      <c r="M31" s="27">
        <f t="shared" ref="M31:M32" si="13">ROUND((+K31*L31),0)</f>
        <v>1803</v>
      </c>
      <c r="N31" s="51">
        <v>7</v>
      </c>
      <c r="O31" s="17">
        <f t="shared" ref="O31:O32" si="14">L31*(1+$B$9)</f>
        <v>265.22500000000002</v>
      </c>
      <c r="P31" s="27">
        <f t="shared" ref="P31:P32" si="15">ROUND((+N31*O31),0)</f>
        <v>1857</v>
      </c>
      <c r="Q31" s="53">
        <f t="shared" ref="Q31:Q32" si="16">E31+H31+K31+N31</f>
        <v>28</v>
      </c>
      <c r="R31" s="19">
        <f>G31+J31+M31+P31</f>
        <v>7160</v>
      </c>
      <c r="S31" s="74"/>
    </row>
    <row r="32" spans="1:19" x14ac:dyDescent="0.25">
      <c r="A32" s="170" t="s">
        <v>401</v>
      </c>
      <c r="B32" s="10"/>
      <c r="C32" s="107" t="s">
        <v>402</v>
      </c>
      <c r="D32" s="114" t="s">
        <v>403</v>
      </c>
      <c r="E32" s="51">
        <f>$B$10*9</f>
        <v>18</v>
      </c>
      <c r="F32" s="17">
        <v>250</v>
      </c>
      <c r="G32" s="27">
        <f t="shared" si="9"/>
        <v>4500</v>
      </c>
      <c r="H32" s="53">
        <f>$B$10*9</f>
        <v>18</v>
      </c>
      <c r="I32" s="17">
        <f t="shared" si="10"/>
        <v>250</v>
      </c>
      <c r="J32" s="17">
        <f t="shared" si="11"/>
        <v>4500</v>
      </c>
      <c r="K32" s="51">
        <f>$B$10*9</f>
        <v>18</v>
      </c>
      <c r="L32" s="17">
        <f t="shared" si="12"/>
        <v>257.5</v>
      </c>
      <c r="M32" s="27">
        <f t="shared" si="13"/>
        <v>4635</v>
      </c>
      <c r="N32" s="51">
        <f>$B$10*9</f>
        <v>18</v>
      </c>
      <c r="O32" s="17">
        <f t="shared" si="14"/>
        <v>265.22500000000002</v>
      </c>
      <c r="P32" s="27">
        <f t="shared" si="15"/>
        <v>4774</v>
      </c>
      <c r="Q32" s="53">
        <f t="shared" si="16"/>
        <v>72</v>
      </c>
      <c r="R32" s="19">
        <f>G32+J32+M32+P32</f>
        <v>18409</v>
      </c>
      <c r="S32" s="74"/>
    </row>
    <row r="33" spans="1:19" x14ac:dyDescent="0.25">
      <c r="A33" s="171"/>
      <c r="B33" s="10"/>
      <c r="C33" s="10"/>
      <c r="D33" s="112"/>
      <c r="E33" s="51"/>
      <c r="F33" s="17"/>
      <c r="G33" s="27"/>
      <c r="H33" s="53"/>
      <c r="I33" s="17"/>
      <c r="J33" s="17"/>
      <c r="K33" s="51"/>
      <c r="L33" s="17"/>
      <c r="M33" s="27"/>
      <c r="N33" s="51"/>
      <c r="O33" s="17"/>
      <c r="P33" s="27"/>
      <c r="Q33" s="53"/>
      <c r="R33" s="19"/>
      <c r="S33" s="73"/>
    </row>
    <row r="34" spans="1:19" x14ac:dyDescent="0.25">
      <c r="A34" s="172" t="s">
        <v>404</v>
      </c>
      <c r="B34" s="18"/>
      <c r="C34" s="18"/>
      <c r="D34" s="115"/>
      <c r="E34" s="51"/>
      <c r="F34" s="32"/>
      <c r="G34" s="49">
        <f>SUM(G30:G33)</f>
        <v>8750</v>
      </c>
      <c r="H34" s="122"/>
      <c r="I34" s="32"/>
      <c r="J34" s="32">
        <f>SUM(J30:J33)</f>
        <v>7750</v>
      </c>
      <c r="K34" s="52"/>
      <c r="L34" s="32"/>
      <c r="M34" s="49">
        <f>SUM(M30:M33)</f>
        <v>7983</v>
      </c>
      <c r="N34" s="52"/>
      <c r="O34" s="32"/>
      <c r="P34" s="49">
        <f>SUM(P30:P33)</f>
        <v>8222</v>
      </c>
      <c r="Q34" s="53"/>
      <c r="R34" s="32">
        <f>SUM(R30:R33)</f>
        <v>32705</v>
      </c>
      <c r="S34" s="73"/>
    </row>
    <row r="35" spans="1:19" x14ac:dyDescent="0.25">
      <c r="A35" s="74"/>
      <c r="B35" s="10"/>
      <c r="C35" s="10"/>
      <c r="D35" s="112"/>
      <c r="E35" s="51"/>
      <c r="F35" s="17"/>
      <c r="G35" s="27"/>
      <c r="H35" s="53"/>
      <c r="I35" s="17"/>
      <c r="J35" s="17"/>
      <c r="K35" s="51"/>
      <c r="L35" s="17"/>
      <c r="M35" s="27"/>
      <c r="N35" s="51" t="s">
        <v>405</v>
      </c>
      <c r="O35" s="17"/>
      <c r="P35" s="27"/>
      <c r="Q35" s="53"/>
      <c r="R35" s="19"/>
      <c r="S35" s="73"/>
    </row>
    <row r="36" spans="1:19" ht="16.5" thickBot="1" x14ac:dyDescent="0.3">
      <c r="A36" s="48" t="s">
        <v>406</v>
      </c>
      <c r="B36" s="13"/>
      <c r="C36" s="13"/>
      <c r="D36" s="113"/>
      <c r="E36" s="65"/>
      <c r="F36" s="21"/>
      <c r="G36" s="46">
        <f>G34+G27</f>
        <v>35450</v>
      </c>
      <c r="H36" s="137"/>
      <c r="I36" s="25"/>
      <c r="J36" s="25">
        <f>J34+J27</f>
        <v>21250</v>
      </c>
      <c r="K36" s="136"/>
      <c r="L36" s="25"/>
      <c r="M36" s="46">
        <f>M34+M27</f>
        <v>21888</v>
      </c>
      <c r="N36" s="136" t="s">
        <v>407</v>
      </c>
      <c r="O36" s="25"/>
      <c r="P36" s="46">
        <f>P34+P27</f>
        <v>32092</v>
      </c>
      <c r="Q36" s="138"/>
      <c r="R36" s="46">
        <f>R34+R27</f>
        <v>110680</v>
      </c>
      <c r="S36" s="73"/>
    </row>
    <row r="37" spans="1:19" ht="16.5" thickTop="1" x14ac:dyDescent="0.25">
      <c r="A37" s="74"/>
      <c r="B37" s="10"/>
      <c r="C37" s="10"/>
      <c r="D37" s="112"/>
      <c r="E37" s="90"/>
      <c r="F37" s="17"/>
      <c r="G37" s="27"/>
      <c r="H37" s="54"/>
      <c r="I37" s="17"/>
      <c r="J37" s="17"/>
      <c r="K37" s="90"/>
      <c r="L37" s="17"/>
      <c r="M37" s="27"/>
      <c r="N37" s="90"/>
      <c r="O37" s="17"/>
      <c r="P37" s="27"/>
      <c r="Q37" s="22"/>
      <c r="R37" s="19"/>
      <c r="S37" s="73"/>
    </row>
    <row r="38" spans="1:19" x14ac:dyDescent="0.25">
      <c r="A38" s="38" t="s">
        <v>408</v>
      </c>
      <c r="B38" s="10"/>
      <c r="C38" s="10"/>
      <c r="D38" s="112"/>
      <c r="E38" s="90"/>
      <c r="F38" s="17"/>
      <c r="G38" s="27"/>
      <c r="H38" s="54"/>
      <c r="I38" s="17"/>
      <c r="J38" s="17" t="s">
        <v>409</v>
      </c>
      <c r="K38" s="90"/>
      <c r="L38" s="17"/>
      <c r="M38" s="27" t="s">
        <v>410</v>
      </c>
      <c r="N38" s="90"/>
      <c r="O38" s="17"/>
      <c r="P38" s="27" t="s">
        <v>411</v>
      </c>
      <c r="Q38" s="22"/>
      <c r="R38" s="19" t="s">
        <v>412</v>
      </c>
      <c r="S38" s="73"/>
    </row>
    <row r="39" spans="1:19" x14ac:dyDescent="0.25">
      <c r="A39" s="30" t="s">
        <v>413</v>
      </c>
      <c r="B39" s="10"/>
      <c r="C39" s="10"/>
      <c r="D39" s="112" t="s">
        <v>414</v>
      </c>
      <c r="E39" s="120">
        <f>$B$7</f>
        <v>0.15</v>
      </c>
      <c r="F39" s="17">
        <f>G27</f>
        <v>26700</v>
      </c>
      <c r="G39" s="27">
        <f t="shared" ref="G39" si="17">ROUND((+E39*F39),0)</f>
        <v>4005</v>
      </c>
      <c r="H39" s="79">
        <f>$B$7</f>
        <v>0.15</v>
      </c>
      <c r="I39" s="17">
        <f>J27</f>
        <v>13500</v>
      </c>
      <c r="J39" s="17">
        <f>ROUND((+H39*I39),0)</f>
        <v>2025</v>
      </c>
      <c r="K39" s="120">
        <f>$B$7</f>
        <v>0.15</v>
      </c>
      <c r="L39" s="17">
        <f>M27</f>
        <v>13905</v>
      </c>
      <c r="M39" s="27">
        <f>ROUND((+K39*L39),0)</f>
        <v>2086</v>
      </c>
      <c r="N39" s="120">
        <f>$B$7</f>
        <v>0.15</v>
      </c>
      <c r="O39" s="17">
        <f>P27</f>
        <v>23870</v>
      </c>
      <c r="P39" s="27">
        <f>ROUND((+N39*O39),0)</f>
        <v>3581</v>
      </c>
      <c r="Q39" s="23"/>
      <c r="R39" s="19">
        <f>G39+J39+M39+P39</f>
        <v>11697</v>
      </c>
      <c r="S39" s="73"/>
    </row>
    <row r="40" spans="1:19" x14ac:dyDescent="0.25">
      <c r="A40" s="30" t="s">
        <v>415</v>
      </c>
      <c r="B40" s="10"/>
      <c r="C40" s="10"/>
      <c r="D40" s="112"/>
      <c r="E40" s="90"/>
      <c r="F40" s="17"/>
      <c r="G40" s="47"/>
      <c r="H40" s="55"/>
      <c r="I40" s="36"/>
      <c r="J40" s="36"/>
      <c r="K40" s="87"/>
      <c r="L40" s="36"/>
      <c r="M40" s="47"/>
      <c r="N40" s="87"/>
      <c r="O40" s="36"/>
      <c r="P40" s="47"/>
      <c r="Q40" s="37"/>
      <c r="R40" s="32"/>
      <c r="S40" s="73"/>
    </row>
    <row r="41" spans="1:19" x14ac:dyDescent="0.25">
      <c r="A41" s="30"/>
      <c r="B41" s="10"/>
      <c r="C41" s="10"/>
      <c r="D41" s="112"/>
      <c r="E41" s="90"/>
      <c r="F41" s="17"/>
      <c r="G41" s="47"/>
      <c r="H41" s="54"/>
      <c r="I41" s="17"/>
      <c r="J41" s="36"/>
      <c r="K41" s="90"/>
      <c r="L41" s="17"/>
      <c r="M41" s="47"/>
      <c r="N41" s="90"/>
      <c r="O41" s="17"/>
      <c r="P41" s="47"/>
      <c r="Q41" s="23"/>
      <c r="R41" s="32"/>
      <c r="S41" s="73"/>
    </row>
    <row r="42" spans="1:19" s="20" customFormat="1" ht="16.5" thickBot="1" x14ac:dyDescent="0.3">
      <c r="A42" s="48" t="s">
        <v>416</v>
      </c>
      <c r="B42" s="24"/>
      <c r="C42" s="24"/>
      <c r="D42" s="116"/>
      <c r="E42" s="91"/>
      <c r="F42" s="25"/>
      <c r="G42" s="46">
        <f>SUM(G39:G41)</f>
        <v>4005</v>
      </c>
      <c r="H42" s="67"/>
      <c r="I42" s="25"/>
      <c r="J42" s="25">
        <f>SUM(J39:J41)</f>
        <v>2025</v>
      </c>
      <c r="K42" s="91"/>
      <c r="L42" s="25"/>
      <c r="M42" s="46">
        <f>SUM(M39:M41)</f>
        <v>2086</v>
      </c>
      <c r="N42" s="91"/>
      <c r="O42" s="25"/>
      <c r="P42" s="46">
        <f>SUM(P39:P41)</f>
        <v>3581</v>
      </c>
      <c r="Q42" s="24"/>
      <c r="R42" s="25">
        <f>SUM(R39:R41)</f>
        <v>11697</v>
      </c>
      <c r="S42" s="75"/>
    </row>
    <row r="43" spans="1:19" ht="16.5" thickTop="1" x14ac:dyDescent="0.25">
      <c r="A43" s="74"/>
      <c r="B43" s="10"/>
      <c r="C43" s="10"/>
      <c r="D43" s="112"/>
      <c r="E43" s="57"/>
      <c r="F43" s="17"/>
      <c r="G43" s="27"/>
      <c r="H43" s="56"/>
      <c r="I43" s="17"/>
      <c r="J43" s="17"/>
      <c r="K43" s="57"/>
      <c r="L43" s="17"/>
      <c r="M43" s="27"/>
      <c r="N43" s="57"/>
      <c r="O43" s="17"/>
      <c r="P43" s="27"/>
      <c r="Q43" s="18"/>
      <c r="R43" s="19"/>
      <c r="S43" s="73"/>
    </row>
    <row r="44" spans="1:19" x14ac:dyDescent="0.25">
      <c r="A44" s="38" t="s">
        <v>417</v>
      </c>
      <c r="B44" s="10"/>
      <c r="C44" s="10"/>
      <c r="D44" s="112"/>
      <c r="E44" s="57"/>
      <c r="F44" s="17"/>
      <c r="G44" s="27"/>
      <c r="H44" s="56"/>
      <c r="I44" s="17"/>
      <c r="J44" s="17"/>
      <c r="K44" s="57"/>
      <c r="L44" s="17"/>
      <c r="M44" s="27"/>
      <c r="N44" s="57"/>
      <c r="O44" s="17"/>
      <c r="P44" s="27"/>
      <c r="Q44" s="18"/>
      <c r="R44" s="19"/>
      <c r="S44" s="73"/>
    </row>
    <row r="45" spans="1:19" x14ac:dyDescent="0.25">
      <c r="A45" s="74"/>
      <c r="B45" s="10"/>
      <c r="C45" s="10"/>
      <c r="D45" s="112"/>
      <c r="E45" s="90"/>
      <c r="F45" s="17"/>
      <c r="G45" s="27"/>
      <c r="H45" s="54"/>
      <c r="I45" s="17"/>
      <c r="J45" s="17"/>
      <c r="K45" s="90"/>
      <c r="L45" s="17"/>
      <c r="M45" s="27"/>
      <c r="N45" s="90"/>
      <c r="O45" s="17"/>
      <c r="P45" s="27"/>
      <c r="Q45" s="29" t="s">
        <v>418</v>
      </c>
      <c r="R45" s="19"/>
      <c r="S45" s="73"/>
    </row>
    <row r="46" spans="1:19" x14ac:dyDescent="0.25">
      <c r="A46" s="38" t="s">
        <v>419</v>
      </c>
      <c r="B46" s="10"/>
      <c r="C46" s="10"/>
      <c r="D46" s="112"/>
      <c r="E46" s="57"/>
      <c r="F46" s="17"/>
      <c r="G46" s="27"/>
      <c r="H46" s="56"/>
      <c r="I46" s="17"/>
      <c r="J46" s="17"/>
      <c r="K46" s="57"/>
      <c r="L46" s="17"/>
      <c r="M46" s="27"/>
      <c r="N46" s="57"/>
      <c r="O46" s="17"/>
      <c r="P46" s="27"/>
      <c r="Q46" s="29" t="s">
        <v>420</v>
      </c>
      <c r="R46" s="19"/>
      <c r="S46" s="73"/>
    </row>
    <row r="47" spans="1:19" x14ac:dyDescent="0.25">
      <c r="A47" s="173" t="s">
        <v>421</v>
      </c>
      <c r="B47" s="16"/>
      <c r="C47" s="10"/>
      <c r="D47" s="112"/>
      <c r="E47" s="57"/>
      <c r="F47" s="17"/>
      <c r="G47" s="27"/>
      <c r="H47" s="56"/>
      <c r="I47" s="17"/>
      <c r="J47" s="17"/>
      <c r="K47" s="57"/>
      <c r="L47" s="17"/>
      <c r="M47" s="27"/>
      <c r="N47" s="57"/>
      <c r="O47" s="17"/>
      <c r="P47" s="27"/>
      <c r="Q47" s="28"/>
      <c r="R47" s="19"/>
      <c r="S47" s="76"/>
    </row>
    <row r="48" spans="1:19" x14ac:dyDescent="0.25">
      <c r="A48" s="26" t="s">
        <v>422</v>
      </c>
      <c r="B48" s="16"/>
      <c r="C48" s="10"/>
      <c r="D48" s="112"/>
      <c r="E48" s="57"/>
      <c r="F48" s="17"/>
      <c r="G48" s="27"/>
      <c r="H48" s="56"/>
      <c r="I48" s="17"/>
      <c r="J48" s="17"/>
      <c r="K48" s="57"/>
      <c r="L48" s="17"/>
      <c r="M48" s="27"/>
      <c r="N48" s="57"/>
      <c r="O48" s="17"/>
      <c r="P48" s="27"/>
      <c r="Q48" s="28"/>
      <c r="R48" s="19"/>
      <c r="S48" s="76"/>
    </row>
    <row r="49" spans="1:21" x14ac:dyDescent="0.25">
      <c r="A49" s="30" t="s">
        <v>423</v>
      </c>
      <c r="B49" s="16"/>
      <c r="C49" s="10"/>
      <c r="D49" s="112" t="s">
        <v>424</v>
      </c>
      <c r="E49" s="57">
        <v>1</v>
      </c>
      <c r="F49" s="17">
        <v>1000</v>
      </c>
      <c r="G49" s="27">
        <f t="shared" ref="G49:G51" si="18">ROUND((+E49*F49),0)</f>
        <v>1000</v>
      </c>
      <c r="H49" s="56"/>
      <c r="I49" s="17">
        <f t="shared" ref="I49:I51" si="19">F49</f>
        <v>1000</v>
      </c>
      <c r="J49" s="17">
        <f t="shared" ref="J49:J51" si="20">ROUND((+H49*I49),0)</f>
        <v>0</v>
      </c>
      <c r="K49" s="57"/>
      <c r="L49" s="17">
        <f t="shared" ref="L49:L51" si="21">I49*(1+$B$9)</f>
        <v>1030</v>
      </c>
      <c r="M49" s="27">
        <f t="shared" ref="M49:M51" si="22">ROUND((+K49*L49),0)</f>
        <v>0</v>
      </c>
      <c r="N49" s="57"/>
      <c r="O49" s="17">
        <f t="shared" ref="O49:O51" si="23">L49*(1+$B$9)</f>
        <v>1060.9000000000001</v>
      </c>
      <c r="P49" s="27">
        <f t="shared" ref="P49:P51" si="24">ROUND((+N49*O49),0)</f>
        <v>0</v>
      </c>
      <c r="Q49" s="53">
        <f t="shared" ref="Q49:Q51" si="25">E49+H49+K49+N49</f>
        <v>1</v>
      </c>
      <c r="R49" s="19">
        <f>G49+J49+M49+P49</f>
        <v>1000</v>
      </c>
      <c r="S49" s="76"/>
    </row>
    <row r="50" spans="1:21" x14ac:dyDescent="0.25">
      <c r="A50" s="30" t="s">
        <v>425</v>
      </c>
      <c r="B50" s="10"/>
      <c r="C50" s="10"/>
      <c r="D50" s="112" t="s">
        <v>426</v>
      </c>
      <c r="E50" s="57">
        <v>10</v>
      </c>
      <c r="F50" s="17">
        <v>250</v>
      </c>
      <c r="G50" s="27">
        <f t="shared" si="18"/>
        <v>2500</v>
      </c>
      <c r="H50" s="56"/>
      <c r="I50" s="17">
        <f t="shared" si="19"/>
        <v>250</v>
      </c>
      <c r="J50" s="17">
        <f t="shared" si="20"/>
        <v>0</v>
      </c>
      <c r="K50" s="57"/>
      <c r="L50" s="17">
        <f t="shared" si="21"/>
        <v>257.5</v>
      </c>
      <c r="M50" s="27">
        <f t="shared" si="22"/>
        <v>0</v>
      </c>
      <c r="N50" s="57"/>
      <c r="O50" s="17">
        <f t="shared" si="23"/>
        <v>265.22500000000002</v>
      </c>
      <c r="P50" s="27">
        <f t="shared" si="24"/>
        <v>0</v>
      </c>
      <c r="Q50" s="53">
        <f t="shared" si="25"/>
        <v>10</v>
      </c>
      <c r="R50" s="19">
        <f>G50+J50+M50+P50</f>
        <v>2500</v>
      </c>
      <c r="S50" s="75"/>
      <c r="T50" s="3"/>
      <c r="U50" s="1"/>
    </row>
    <row r="51" spans="1:21" x14ac:dyDescent="0.25">
      <c r="A51" s="30" t="s">
        <v>427</v>
      </c>
      <c r="B51" s="10"/>
      <c r="C51" s="10"/>
      <c r="D51" s="112" t="s">
        <v>428</v>
      </c>
      <c r="E51" s="57">
        <v>1</v>
      </c>
      <c r="F51" s="17">
        <v>200</v>
      </c>
      <c r="G51" s="27">
        <f t="shared" si="18"/>
        <v>200</v>
      </c>
      <c r="H51" s="56"/>
      <c r="I51" s="17">
        <f t="shared" si="19"/>
        <v>200</v>
      </c>
      <c r="J51" s="17">
        <f t="shared" si="20"/>
        <v>0</v>
      </c>
      <c r="K51" s="57"/>
      <c r="L51" s="17">
        <f t="shared" si="21"/>
        <v>206</v>
      </c>
      <c r="M51" s="27">
        <f t="shared" si="22"/>
        <v>0</v>
      </c>
      <c r="N51" s="57"/>
      <c r="O51" s="17">
        <f t="shared" si="23"/>
        <v>212.18</v>
      </c>
      <c r="P51" s="27">
        <f t="shared" si="24"/>
        <v>0</v>
      </c>
      <c r="Q51" s="53">
        <f t="shared" si="25"/>
        <v>1</v>
      </c>
      <c r="R51" s="19">
        <f>G51+J51+M51+P51</f>
        <v>200</v>
      </c>
      <c r="S51" s="75"/>
      <c r="T51" s="3"/>
      <c r="U51" s="1"/>
    </row>
    <row r="52" spans="1:21" ht="18.75" x14ac:dyDescent="0.25">
      <c r="A52" s="26" t="s">
        <v>429</v>
      </c>
      <c r="B52" s="16"/>
      <c r="C52" s="10"/>
      <c r="D52" s="112"/>
      <c r="E52" s="57"/>
      <c r="F52" s="17"/>
      <c r="G52" s="27"/>
      <c r="H52" s="56"/>
      <c r="I52" s="17"/>
      <c r="J52" s="17"/>
      <c r="K52" s="57"/>
      <c r="L52" s="17"/>
      <c r="M52" s="27"/>
      <c r="N52" s="57"/>
      <c r="O52" s="17"/>
      <c r="P52" s="27"/>
      <c r="Q52" s="53"/>
      <c r="R52" s="19"/>
      <c r="S52" s="76"/>
    </row>
    <row r="53" spans="1:21" x14ac:dyDescent="0.25">
      <c r="A53" s="30" t="s">
        <v>430</v>
      </c>
      <c r="B53" s="16"/>
      <c r="C53" s="10"/>
      <c r="D53" s="112" t="s">
        <v>431</v>
      </c>
      <c r="E53" s="57"/>
      <c r="F53" s="17">
        <v>1000</v>
      </c>
      <c r="G53" s="27">
        <f t="shared" ref="G53:G59" si="26">ROUND((+E53*F53),0)</f>
        <v>0</v>
      </c>
      <c r="H53" s="56"/>
      <c r="I53" s="17">
        <f t="shared" ref="I53:I55" si="27">F53</f>
        <v>1000</v>
      </c>
      <c r="J53" s="17">
        <f t="shared" ref="J53:J55" si="28">ROUND((+H53*I53),0)</f>
        <v>0</v>
      </c>
      <c r="K53" s="57"/>
      <c r="L53" s="17">
        <f t="shared" ref="L53:L55" si="29">I53*(1+$B$9)</f>
        <v>1030</v>
      </c>
      <c r="M53" s="27">
        <f t="shared" ref="M53:M55" si="30">ROUND((+K53*L53),0)</f>
        <v>0</v>
      </c>
      <c r="N53" s="57">
        <v>1</v>
      </c>
      <c r="O53" s="17">
        <f t="shared" ref="O53:O55" si="31">L53*(1+$B$9)</f>
        <v>1060.9000000000001</v>
      </c>
      <c r="P53" s="27">
        <f t="shared" ref="P53:P55" si="32">ROUND((+N53*O53),0)</f>
        <v>1061</v>
      </c>
      <c r="Q53" s="53">
        <f t="shared" ref="Q53:Q55" si="33">E53+H53+K53+N53</f>
        <v>1</v>
      </c>
      <c r="R53" s="19">
        <f>G53+J53+M53+P53</f>
        <v>1061</v>
      </c>
      <c r="S53" s="76"/>
    </row>
    <row r="54" spans="1:21" x14ac:dyDescent="0.25">
      <c r="A54" s="30" t="s">
        <v>432</v>
      </c>
      <c r="B54" s="10"/>
      <c r="C54" s="10"/>
      <c r="D54" s="112" t="s">
        <v>433</v>
      </c>
      <c r="E54" s="57"/>
      <c r="F54" s="17">
        <v>250</v>
      </c>
      <c r="G54" s="27">
        <f t="shared" si="26"/>
        <v>0</v>
      </c>
      <c r="H54" s="56"/>
      <c r="I54" s="17">
        <f t="shared" si="27"/>
        <v>250</v>
      </c>
      <c r="J54" s="17">
        <f t="shared" si="28"/>
        <v>0</v>
      </c>
      <c r="K54" s="57"/>
      <c r="L54" s="17">
        <f t="shared" si="29"/>
        <v>257.5</v>
      </c>
      <c r="M54" s="27">
        <f t="shared" si="30"/>
        <v>0</v>
      </c>
      <c r="N54" s="57">
        <v>3</v>
      </c>
      <c r="O54" s="17">
        <f t="shared" si="31"/>
        <v>265.22500000000002</v>
      </c>
      <c r="P54" s="27">
        <f t="shared" si="32"/>
        <v>796</v>
      </c>
      <c r="Q54" s="53">
        <f t="shared" si="33"/>
        <v>3</v>
      </c>
      <c r="R54" s="19">
        <f>G54+J54+M54+P54</f>
        <v>796</v>
      </c>
      <c r="S54" s="75"/>
      <c r="T54" s="3"/>
      <c r="U54" s="1"/>
    </row>
    <row r="55" spans="1:21" x14ac:dyDescent="0.25">
      <c r="A55" s="30" t="s">
        <v>434</v>
      </c>
      <c r="B55" s="10"/>
      <c r="C55" s="10"/>
      <c r="D55" s="112" t="s">
        <v>435</v>
      </c>
      <c r="E55" s="57"/>
      <c r="F55" s="17">
        <v>200</v>
      </c>
      <c r="G55" s="27">
        <f t="shared" si="26"/>
        <v>0</v>
      </c>
      <c r="H55" s="56"/>
      <c r="I55" s="17">
        <f t="shared" si="27"/>
        <v>200</v>
      </c>
      <c r="J55" s="17">
        <f t="shared" si="28"/>
        <v>0</v>
      </c>
      <c r="K55" s="57"/>
      <c r="L55" s="17">
        <f t="shared" si="29"/>
        <v>206</v>
      </c>
      <c r="M55" s="27">
        <f t="shared" si="30"/>
        <v>0</v>
      </c>
      <c r="N55" s="57">
        <v>1</v>
      </c>
      <c r="O55" s="17">
        <f t="shared" si="31"/>
        <v>212.18</v>
      </c>
      <c r="P55" s="27">
        <f t="shared" si="32"/>
        <v>212</v>
      </c>
      <c r="Q55" s="53">
        <f t="shared" si="33"/>
        <v>1</v>
      </c>
      <c r="R55" s="19">
        <f>G55+J55+M55+P55</f>
        <v>212</v>
      </c>
      <c r="S55" s="75"/>
      <c r="T55" s="3"/>
      <c r="U55" s="1"/>
    </row>
    <row r="56" spans="1:21" x14ac:dyDescent="0.25">
      <c r="A56" s="173" t="s">
        <v>436</v>
      </c>
      <c r="B56" s="10"/>
      <c r="C56" s="10"/>
      <c r="D56" s="112"/>
      <c r="E56" s="57"/>
      <c r="F56" s="17"/>
      <c r="G56" s="27"/>
      <c r="H56" s="56"/>
      <c r="I56" s="17"/>
      <c r="J56" s="17"/>
      <c r="K56" s="57"/>
      <c r="L56" s="17"/>
      <c r="M56" s="27"/>
      <c r="N56" s="57"/>
      <c r="O56" s="17"/>
      <c r="P56" s="27"/>
      <c r="Q56" s="53"/>
      <c r="R56" s="19"/>
      <c r="S56" s="75"/>
      <c r="T56" s="3"/>
      <c r="U56" s="1"/>
    </row>
    <row r="57" spans="1:21" s="39" customFormat="1" x14ac:dyDescent="0.25">
      <c r="A57" s="174" t="s">
        <v>437</v>
      </c>
      <c r="B57" s="162"/>
      <c r="C57" s="162"/>
      <c r="D57" s="163" t="s">
        <v>438</v>
      </c>
      <c r="E57" s="66">
        <v>1</v>
      </c>
      <c r="F57" s="36">
        <v>1000</v>
      </c>
      <c r="G57" s="47">
        <f t="shared" ref="G57" si="34">ROUND((+E57*F57),0)</f>
        <v>1000</v>
      </c>
      <c r="H57" s="62">
        <v>1</v>
      </c>
      <c r="I57" s="36">
        <f t="shared" ref="I57:I59" si="35">F57</f>
        <v>1000</v>
      </c>
      <c r="J57" s="36">
        <f t="shared" ref="J57:J59" si="36">ROUND((+H57*I57),0)</f>
        <v>1000</v>
      </c>
      <c r="K57" s="66">
        <v>1</v>
      </c>
      <c r="L57" s="36">
        <f t="shared" ref="L57:L59" si="37">I57*(1+$B$9)</f>
        <v>1030</v>
      </c>
      <c r="M57" s="47">
        <f t="shared" ref="M57:M59" si="38">ROUND((+K57*L57),0)</f>
        <v>1030</v>
      </c>
      <c r="N57" s="66">
        <v>1</v>
      </c>
      <c r="O57" s="36">
        <f t="shared" ref="O57:O59" si="39">L57*(1+$B$9)</f>
        <v>1060.9000000000001</v>
      </c>
      <c r="P57" s="47">
        <f t="shared" ref="P57:P59" si="40">ROUND((+N57*O57),0)</f>
        <v>1061</v>
      </c>
      <c r="Q57" s="122">
        <f t="shared" ref="Q57:Q59" si="41">E57+H57+K57+N57</f>
        <v>4</v>
      </c>
      <c r="R57" s="32">
        <f>G57+J57+M57+P57</f>
        <v>4091</v>
      </c>
      <c r="S57" s="77"/>
      <c r="T57" s="164"/>
      <c r="U57" s="165"/>
    </row>
    <row r="58" spans="1:21" s="39" customFormat="1" x14ac:dyDescent="0.25">
      <c r="A58" s="174" t="s">
        <v>439</v>
      </c>
      <c r="B58" s="162"/>
      <c r="C58" s="162"/>
      <c r="D58" s="163" t="s">
        <v>440</v>
      </c>
      <c r="E58" s="66">
        <v>7</v>
      </c>
      <c r="F58" s="36">
        <v>250</v>
      </c>
      <c r="G58" s="47">
        <f t="shared" si="26"/>
        <v>1750</v>
      </c>
      <c r="H58" s="62">
        <v>7</v>
      </c>
      <c r="I58" s="36">
        <f t="shared" si="35"/>
        <v>250</v>
      </c>
      <c r="J58" s="36">
        <f t="shared" si="36"/>
        <v>1750</v>
      </c>
      <c r="K58" s="66">
        <v>7</v>
      </c>
      <c r="L58" s="36">
        <f t="shared" si="37"/>
        <v>257.5</v>
      </c>
      <c r="M58" s="47">
        <f t="shared" si="38"/>
        <v>1803</v>
      </c>
      <c r="N58" s="66">
        <v>7</v>
      </c>
      <c r="O58" s="36">
        <f t="shared" si="39"/>
        <v>265.22500000000002</v>
      </c>
      <c r="P58" s="47">
        <f t="shared" si="40"/>
        <v>1857</v>
      </c>
      <c r="Q58" s="122">
        <f t="shared" si="41"/>
        <v>28</v>
      </c>
      <c r="R58" s="32">
        <f>G58+J58+M58+P58</f>
        <v>7160</v>
      </c>
      <c r="S58" s="77"/>
      <c r="T58" s="164"/>
      <c r="U58" s="165"/>
    </row>
    <row r="59" spans="1:21" s="39" customFormat="1" x14ac:dyDescent="0.25">
      <c r="A59" s="174" t="s">
        <v>441</v>
      </c>
      <c r="B59" s="162"/>
      <c r="C59" s="162"/>
      <c r="D59" s="163" t="s">
        <v>442</v>
      </c>
      <c r="E59" s="66">
        <v>1</v>
      </c>
      <c r="F59" s="36">
        <v>200</v>
      </c>
      <c r="G59" s="47">
        <f t="shared" si="26"/>
        <v>200</v>
      </c>
      <c r="H59" s="62">
        <v>1</v>
      </c>
      <c r="I59" s="36">
        <f t="shared" si="35"/>
        <v>200</v>
      </c>
      <c r="J59" s="36">
        <f t="shared" si="36"/>
        <v>200</v>
      </c>
      <c r="K59" s="66">
        <v>1</v>
      </c>
      <c r="L59" s="36">
        <f t="shared" si="37"/>
        <v>206</v>
      </c>
      <c r="M59" s="47">
        <f t="shared" si="38"/>
        <v>206</v>
      </c>
      <c r="N59" s="66">
        <v>1</v>
      </c>
      <c r="O59" s="36">
        <f t="shared" si="39"/>
        <v>212.18</v>
      </c>
      <c r="P59" s="47">
        <f t="shared" si="40"/>
        <v>212</v>
      </c>
      <c r="Q59" s="122">
        <f t="shared" si="41"/>
        <v>4</v>
      </c>
      <c r="R59" s="32">
        <f>G59+J59+M59+P59</f>
        <v>818</v>
      </c>
      <c r="S59" s="77"/>
      <c r="T59" s="164"/>
      <c r="U59" s="165"/>
    </row>
    <row r="60" spans="1:21" x14ac:dyDescent="0.25">
      <c r="A60" s="74"/>
      <c r="B60" s="10"/>
      <c r="C60" s="10"/>
      <c r="D60" s="112"/>
      <c r="E60" s="57"/>
      <c r="F60" s="17"/>
      <c r="G60" s="27"/>
      <c r="H60" s="56"/>
      <c r="I60" s="17"/>
      <c r="J60" s="17"/>
      <c r="K60" s="57"/>
      <c r="L60" s="17"/>
      <c r="M60" s="27"/>
      <c r="N60" s="57"/>
      <c r="O60" s="17"/>
      <c r="P60" s="27"/>
      <c r="Q60" s="53"/>
      <c r="R60" s="19"/>
      <c r="S60" s="73"/>
    </row>
    <row r="61" spans="1:21" s="20" customFormat="1" x14ac:dyDescent="0.25">
      <c r="A61" s="172" t="s">
        <v>443</v>
      </c>
      <c r="B61" s="18"/>
      <c r="C61" s="18"/>
      <c r="D61" s="115"/>
      <c r="E61" s="83"/>
      <c r="F61" s="19"/>
      <c r="G61" s="96">
        <f>SUM(G46:G60)</f>
        <v>6650</v>
      </c>
      <c r="H61" s="58"/>
      <c r="I61" s="19"/>
      <c r="J61" s="19">
        <f>SUM(J46:J60)</f>
        <v>2950</v>
      </c>
      <c r="K61" s="83"/>
      <c r="L61" s="19"/>
      <c r="M61" s="96">
        <f>SUM(M46:M60)</f>
        <v>3039</v>
      </c>
      <c r="N61" s="83"/>
      <c r="O61" s="19"/>
      <c r="P61" s="96">
        <f>SUM(P46:P60)</f>
        <v>5199</v>
      </c>
      <c r="Q61" s="18"/>
      <c r="R61" s="19">
        <f>SUM(R46:R60)</f>
        <v>17838</v>
      </c>
      <c r="S61" s="75"/>
    </row>
    <row r="62" spans="1:21" x14ac:dyDescent="0.25">
      <c r="A62" s="74"/>
      <c r="B62" s="10"/>
      <c r="C62" s="10"/>
      <c r="D62" s="112"/>
      <c r="E62" s="57"/>
      <c r="F62" s="17"/>
      <c r="G62" s="100"/>
      <c r="H62" s="56"/>
      <c r="I62" s="17"/>
      <c r="J62" s="17"/>
      <c r="K62" s="57"/>
      <c r="L62" s="17"/>
      <c r="M62" s="27"/>
      <c r="N62" s="57"/>
      <c r="O62" s="17"/>
      <c r="P62" s="27"/>
      <c r="Q62" s="18"/>
      <c r="R62" s="71"/>
      <c r="S62" s="73"/>
    </row>
    <row r="63" spans="1:21" x14ac:dyDescent="0.25">
      <c r="A63" s="38" t="s">
        <v>444</v>
      </c>
      <c r="B63" s="10"/>
      <c r="C63" s="10"/>
      <c r="D63" s="112"/>
      <c r="E63" s="57"/>
      <c r="F63" s="17"/>
      <c r="G63" s="27"/>
      <c r="H63" s="56"/>
      <c r="I63" s="17"/>
      <c r="J63" s="17"/>
      <c r="K63" s="57"/>
      <c r="L63" s="17"/>
      <c r="M63" s="27"/>
      <c r="N63" s="57"/>
      <c r="O63" s="17"/>
      <c r="P63" s="27"/>
      <c r="Q63" s="29" t="s">
        <v>445</v>
      </c>
      <c r="R63" s="19"/>
      <c r="S63" s="73"/>
    </row>
    <row r="64" spans="1:21" x14ac:dyDescent="0.25">
      <c r="A64" s="173" t="s">
        <v>446</v>
      </c>
      <c r="B64" s="10"/>
      <c r="C64" s="10"/>
      <c r="D64" s="112"/>
      <c r="E64" s="57"/>
      <c r="F64" s="17"/>
      <c r="G64" s="27"/>
      <c r="H64" s="56"/>
      <c r="I64" s="17"/>
      <c r="J64" s="17"/>
      <c r="K64" s="57"/>
      <c r="L64" s="17"/>
      <c r="M64" s="27"/>
      <c r="N64" s="57"/>
      <c r="O64" s="17"/>
      <c r="P64" s="27"/>
      <c r="Q64" s="29"/>
      <c r="R64" s="19"/>
      <c r="S64" s="73"/>
    </row>
    <row r="65" spans="1:21" x14ac:dyDescent="0.25">
      <c r="A65" s="26" t="s">
        <v>447</v>
      </c>
      <c r="B65" s="10"/>
      <c r="C65" s="10"/>
      <c r="D65" s="112"/>
      <c r="E65" s="57"/>
      <c r="F65" s="17"/>
      <c r="G65" s="27"/>
      <c r="H65" s="56"/>
      <c r="I65" s="17"/>
      <c r="J65" s="17"/>
      <c r="K65" s="57"/>
      <c r="L65" s="17"/>
      <c r="M65" s="27"/>
      <c r="N65" s="57"/>
      <c r="O65" s="17"/>
      <c r="P65" s="27"/>
      <c r="Q65" s="29"/>
      <c r="R65" s="19"/>
      <c r="S65" s="73"/>
    </row>
    <row r="66" spans="1:21" x14ac:dyDescent="0.25">
      <c r="A66" s="30" t="s">
        <v>448</v>
      </c>
      <c r="B66" s="10"/>
      <c r="C66" s="10"/>
      <c r="D66" s="112" t="s">
        <v>449</v>
      </c>
      <c r="E66" s="57">
        <v>10</v>
      </c>
      <c r="F66" s="17">
        <v>50</v>
      </c>
      <c r="G66" s="27">
        <f t="shared" ref="G66" si="42">ROUND((+E66*F66),0)</f>
        <v>500</v>
      </c>
      <c r="H66" s="56"/>
      <c r="I66" s="17">
        <f>F66</f>
        <v>50</v>
      </c>
      <c r="J66" s="17">
        <f>ROUND((+H66*I66),0)</f>
        <v>0</v>
      </c>
      <c r="K66" s="57"/>
      <c r="L66" s="17">
        <f>I66*(1+$B$9)</f>
        <v>51.5</v>
      </c>
      <c r="M66" s="27">
        <f>ROUND((+K66*L66),0)</f>
        <v>0</v>
      </c>
      <c r="N66" s="57"/>
      <c r="O66" s="17">
        <f>L66*(1+$B$9)</f>
        <v>53.045000000000002</v>
      </c>
      <c r="P66" s="27">
        <f>ROUND((+N66*O66),0)</f>
        <v>0</v>
      </c>
      <c r="Q66" s="53">
        <f>E66+H66+K66+N66</f>
        <v>10</v>
      </c>
      <c r="R66" s="19">
        <f>G66+J66+M66+P66</f>
        <v>500</v>
      </c>
      <c r="S66" s="73"/>
    </row>
    <row r="67" spans="1:21" ht="18.75" x14ac:dyDescent="0.25">
      <c r="A67" s="26" t="s">
        <v>450</v>
      </c>
      <c r="B67" s="10"/>
      <c r="C67" s="10"/>
      <c r="D67" s="112"/>
      <c r="E67" s="57"/>
      <c r="F67" s="17"/>
      <c r="G67" s="27"/>
      <c r="H67" s="56"/>
      <c r="I67" s="17"/>
      <c r="J67" s="17"/>
      <c r="K67" s="57"/>
      <c r="L67" s="17"/>
      <c r="M67" s="27"/>
      <c r="N67" s="57"/>
      <c r="O67" s="17"/>
      <c r="P67" s="27"/>
      <c r="Q67" s="53"/>
      <c r="R67" s="19"/>
      <c r="S67" s="73"/>
    </row>
    <row r="68" spans="1:21" x14ac:dyDescent="0.25">
      <c r="A68" s="30" t="s">
        <v>451</v>
      </c>
      <c r="B68" s="10"/>
      <c r="C68" s="10"/>
      <c r="D68" s="112" t="s">
        <v>452</v>
      </c>
      <c r="E68" s="57"/>
      <c r="F68" s="17">
        <v>50</v>
      </c>
      <c r="G68" s="27">
        <f t="shared" ref="G68" si="43">ROUND((+E68*F68),0)</f>
        <v>0</v>
      </c>
      <c r="H68" s="56"/>
      <c r="I68" s="17">
        <f>F68</f>
        <v>50</v>
      </c>
      <c r="J68" s="17">
        <f>ROUND((+H68*I68),0)</f>
        <v>0</v>
      </c>
      <c r="K68" s="57"/>
      <c r="L68" s="17">
        <f>I68*(1+$B$9)</f>
        <v>51.5</v>
      </c>
      <c r="M68" s="27">
        <f>ROUND((+K68*L68),0)</f>
        <v>0</v>
      </c>
      <c r="N68" s="57">
        <v>3</v>
      </c>
      <c r="O68" s="17">
        <f>L68*(1+$B$9)</f>
        <v>53.045000000000002</v>
      </c>
      <c r="P68" s="27">
        <f>ROUND((+N68*O68),0)</f>
        <v>159</v>
      </c>
      <c r="Q68" s="53">
        <f>E68+H68+K68+N68</f>
        <v>3</v>
      </c>
      <c r="R68" s="19">
        <f>G68+J68+M68+P68</f>
        <v>159</v>
      </c>
      <c r="S68" s="73"/>
    </row>
    <row r="69" spans="1:21" x14ac:dyDescent="0.25">
      <c r="A69" s="173" t="s">
        <v>453</v>
      </c>
      <c r="B69" s="10"/>
      <c r="C69" s="10"/>
      <c r="D69" s="112"/>
      <c r="E69" s="57"/>
      <c r="F69" s="17"/>
      <c r="G69" s="27"/>
      <c r="H69" s="56"/>
      <c r="I69" s="17"/>
      <c r="J69" s="17"/>
      <c r="K69" s="57"/>
      <c r="L69" s="17"/>
      <c r="M69" s="27"/>
      <c r="N69" s="57"/>
      <c r="O69" s="17"/>
      <c r="P69" s="27"/>
      <c r="Q69" s="53"/>
      <c r="R69" s="19"/>
      <c r="S69" s="73"/>
    </row>
    <row r="70" spans="1:21" x14ac:dyDescent="0.25">
      <c r="A70" s="30" t="s">
        <v>454</v>
      </c>
      <c r="B70" s="10"/>
      <c r="C70" s="10"/>
      <c r="D70" s="112" t="s">
        <v>455</v>
      </c>
      <c r="E70" s="57">
        <v>7</v>
      </c>
      <c r="F70" s="17">
        <v>50</v>
      </c>
      <c r="G70" s="27">
        <f t="shared" ref="G70" si="44">ROUND((+E70*F70),0)</f>
        <v>350</v>
      </c>
      <c r="H70" s="56">
        <v>7</v>
      </c>
      <c r="I70" s="17">
        <f>F70</f>
        <v>50</v>
      </c>
      <c r="J70" s="17">
        <f>ROUND((+H70*I70),0)</f>
        <v>350</v>
      </c>
      <c r="K70" s="57">
        <v>7</v>
      </c>
      <c r="L70" s="17">
        <f>I70*(1+$B$9)</f>
        <v>51.5</v>
      </c>
      <c r="M70" s="27">
        <f>ROUND((+K70*L70),0)</f>
        <v>361</v>
      </c>
      <c r="N70" s="57">
        <v>7</v>
      </c>
      <c r="O70" s="17">
        <f>L70*(1+$B$9)</f>
        <v>53.045000000000002</v>
      </c>
      <c r="P70" s="27">
        <f>ROUND((+N70*O70),0)</f>
        <v>371</v>
      </c>
      <c r="Q70" s="53">
        <f>E70+H70+K70+N70</f>
        <v>28</v>
      </c>
      <c r="R70" s="19">
        <f>G70+J70+M70+P70</f>
        <v>1432</v>
      </c>
      <c r="S70" s="73"/>
    </row>
    <row r="71" spans="1:21" x14ac:dyDescent="0.25">
      <c r="A71" s="173" t="s">
        <v>456</v>
      </c>
      <c r="B71" s="10"/>
      <c r="C71" s="10"/>
      <c r="D71" s="112"/>
      <c r="E71" s="57"/>
      <c r="F71" s="17"/>
      <c r="G71" s="27"/>
      <c r="H71" s="56"/>
      <c r="I71" s="17"/>
      <c r="J71" s="17"/>
      <c r="K71" s="57"/>
      <c r="L71" s="17"/>
      <c r="M71" s="27"/>
      <c r="N71" s="57"/>
      <c r="O71" s="17"/>
      <c r="P71" s="27"/>
      <c r="Q71" s="53"/>
      <c r="R71" s="19"/>
      <c r="S71" s="75"/>
      <c r="T71" s="3"/>
      <c r="U71" s="1"/>
    </row>
    <row r="72" spans="1:21" x14ac:dyDescent="0.25">
      <c r="A72" s="170" t="s">
        <v>457</v>
      </c>
      <c r="B72" s="10"/>
      <c r="C72" s="107" t="s">
        <v>458</v>
      </c>
      <c r="D72" s="114" t="s">
        <v>459</v>
      </c>
      <c r="E72" s="57">
        <f>$B$10*14</f>
        <v>28</v>
      </c>
      <c r="F72" s="17">
        <v>150</v>
      </c>
      <c r="G72" s="27">
        <f t="shared" ref="G72:G74" si="45">ROUND((+E72*F72),0)</f>
        <v>4200</v>
      </c>
      <c r="H72" s="56">
        <f>$B$10*14</f>
        <v>28</v>
      </c>
      <c r="I72" s="17">
        <f t="shared" ref="I72:I74" si="46">F72</f>
        <v>150</v>
      </c>
      <c r="J72" s="17">
        <f t="shared" ref="J72:J74" si="47">ROUND((+H72*I72),0)</f>
        <v>4200</v>
      </c>
      <c r="K72" s="57">
        <f>$B$10*14</f>
        <v>28</v>
      </c>
      <c r="L72" s="17">
        <f t="shared" ref="L72:L74" si="48">I72*(1+$B$9)</f>
        <v>154.5</v>
      </c>
      <c r="M72" s="27">
        <f t="shared" ref="M72:M74" si="49">ROUND((+K72*L72),0)</f>
        <v>4326</v>
      </c>
      <c r="N72" s="57">
        <f>$B$10*14</f>
        <v>28</v>
      </c>
      <c r="O72" s="17">
        <f t="shared" ref="O72:O74" si="50">L72*(1+$B$9)</f>
        <v>159.13499999999999</v>
      </c>
      <c r="P72" s="27">
        <f t="shared" ref="P72:P74" si="51">ROUND((+N72*O72),0)</f>
        <v>4456</v>
      </c>
      <c r="Q72" s="53">
        <f t="shared" ref="Q72" si="52">E72+H72+K72+N72</f>
        <v>112</v>
      </c>
      <c r="R72" s="19">
        <f>G72+J72+M72+P72</f>
        <v>17182</v>
      </c>
      <c r="S72" s="74"/>
      <c r="T72" s="3"/>
      <c r="U72" s="1"/>
    </row>
    <row r="73" spans="1:21" x14ac:dyDescent="0.25">
      <c r="A73" s="170" t="s">
        <v>460</v>
      </c>
      <c r="B73" s="107"/>
      <c r="C73" s="107" t="s">
        <v>461</v>
      </c>
      <c r="D73" s="114" t="s">
        <v>462</v>
      </c>
      <c r="E73" s="57">
        <f>$B$10*2</f>
        <v>4</v>
      </c>
      <c r="F73" s="17">
        <v>500</v>
      </c>
      <c r="G73" s="27">
        <f t="shared" si="45"/>
        <v>2000</v>
      </c>
      <c r="H73" s="56">
        <f>$B$10*2</f>
        <v>4</v>
      </c>
      <c r="I73" s="17">
        <f t="shared" si="46"/>
        <v>500</v>
      </c>
      <c r="J73" s="17">
        <f t="shared" si="47"/>
        <v>2000</v>
      </c>
      <c r="K73" s="57">
        <f>$B$10*2</f>
        <v>4</v>
      </c>
      <c r="L73" s="17">
        <f t="shared" si="48"/>
        <v>515</v>
      </c>
      <c r="M73" s="27">
        <f t="shared" si="49"/>
        <v>2060</v>
      </c>
      <c r="N73" s="57">
        <f>$B$10*2</f>
        <v>4</v>
      </c>
      <c r="O73" s="17">
        <f t="shared" si="50"/>
        <v>530.45000000000005</v>
      </c>
      <c r="P73" s="27">
        <f t="shared" si="51"/>
        <v>2122</v>
      </c>
      <c r="Q73" s="53">
        <f>E73+H73+K73+N73</f>
        <v>16</v>
      </c>
      <c r="R73" s="19">
        <f>G73+J73+M73+P73</f>
        <v>8182</v>
      </c>
      <c r="S73" s="73"/>
    </row>
    <row r="74" spans="1:21" x14ac:dyDescent="0.25">
      <c r="A74" s="170" t="s">
        <v>463</v>
      </c>
      <c r="B74" s="107"/>
      <c r="C74" s="107" t="s">
        <v>464</v>
      </c>
      <c r="D74" s="114" t="s">
        <v>465</v>
      </c>
      <c r="E74" s="57">
        <f>$B$10*14</f>
        <v>28</v>
      </c>
      <c r="F74" s="17">
        <v>50</v>
      </c>
      <c r="G74" s="27">
        <f t="shared" si="45"/>
        <v>1400</v>
      </c>
      <c r="H74" s="56">
        <f>$B$10*14</f>
        <v>28</v>
      </c>
      <c r="I74" s="17">
        <f t="shared" si="46"/>
        <v>50</v>
      </c>
      <c r="J74" s="17">
        <f t="shared" si="47"/>
        <v>1400</v>
      </c>
      <c r="K74" s="57">
        <f>$B$10*14</f>
        <v>28</v>
      </c>
      <c r="L74" s="17">
        <f t="shared" si="48"/>
        <v>51.5</v>
      </c>
      <c r="M74" s="27">
        <f t="shared" si="49"/>
        <v>1442</v>
      </c>
      <c r="N74" s="57">
        <f>$B$10*14</f>
        <v>28</v>
      </c>
      <c r="O74" s="17">
        <f t="shared" si="50"/>
        <v>53.045000000000002</v>
      </c>
      <c r="P74" s="27">
        <f t="shared" si="51"/>
        <v>1485</v>
      </c>
      <c r="Q74" s="53">
        <f>E74+H74+K74+N74</f>
        <v>112</v>
      </c>
      <c r="R74" s="19">
        <f>G74+J74+M74+P74</f>
        <v>5727</v>
      </c>
      <c r="S74" s="73"/>
    </row>
    <row r="75" spans="1:21" x14ac:dyDescent="0.25">
      <c r="A75" s="74"/>
      <c r="B75" s="10"/>
      <c r="C75" s="10"/>
      <c r="D75" s="112"/>
      <c r="E75" s="57"/>
      <c r="F75" s="17"/>
      <c r="G75" s="27"/>
      <c r="H75" s="56"/>
      <c r="I75" s="17"/>
      <c r="J75" s="17"/>
      <c r="K75" s="57"/>
      <c r="L75" s="17"/>
      <c r="M75" s="27"/>
      <c r="N75" s="57"/>
      <c r="O75" s="17"/>
      <c r="P75" s="27"/>
      <c r="Q75" s="29"/>
      <c r="R75" s="19"/>
      <c r="S75" s="73"/>
    </row>
    <row r="76" spans="1:21" s="20" customFormat="1" x14ac:dyDescent="0.25">
      <c r="A76" s="172" t="s">
        <v>466</v>
      </c>
      <c r="B76" s="18"/>
      <c r="C76" s="18"/>
      <c r="D76" s="115"/>
      <c r="E76" s="83"/>
      <c r="F76" s="19"/>
      <c r="G76" s="49">
        <f>SUM(G63:G75)</f>
        <v>8450</v>
      </c>
      <c r="H76" s="59"/>
      <c r="I76" s="32"/>
      <c r="J76" s="32">
        <f>SUM(J63:J75)</f>
        <v>7950</v>
      </c>
      <c r="K76" s="84"/>
      <c r="L76" s="32"/>
      <c r="M76" s="49">
        <f>SUM(M63:M75)</f>
        <v>8189</v>
      </c>
      <c r="N76" s="84"/>
      <c r="O76" s="32"/>
      <c r="P76" s="49">
        <f>SUM(P63:P75)</f>
        <v>8593</v>
      </c>
      <c r="Q76" s="33"/>
      <c r="R76" s="32">
        <f>SUM(R63:R75)</f>
        <v>33182</v>
      </c>
      <c r="S76" s="75"/>
    </row>
    <row r="77" spans="1:21" x14ac:dyDescent="0.25">
      <c r="A77" s="74"/>
      <c r="B77" s="10"/>
      <c r="C77" s="10"/>
      <c r="D77" s="112"/>
      <c r="E77" s="57"/>
      <c r="F77" s="17"/>
      <c r="G77" s="47"/>
      <c r="H77" s="62"/>
      <c r="I77" s="36"/>
      <c r="J77" s="36"/>
      <c r="K77" s="66"/>
      <c r="L77" s="36"/>
      <c r="M77" s="47"/>
      <c r="N77" s="66"/>
      <c r="O77" s="36"/>
      <c r="P77" s="47"/>
      <c r="Q77" s="33"/>
      <c r="R77" s="32"/>
      <c r="S77" s="73"/>
    </row>
    <row r="78" spans="1:21" ht="16.5" thickBot="1" x14ac:dyDescent="0.3">
      <c r="A78" s="48" t="s">
        <v>467</v>
      </c>
      <c r="B78" s="24"/>
      <c r="C78" s="24"/>
      <c r="D78" s="116"/>
      <c r="E78" s="93"/>
      <c r="F78" s="25"/>
      <c r="G78" s="97">
        <f>G61+G76</f>
        <v>15100</v>
      </c>
      <c r="H78" s="95"/>
      <c r="I78" s="43"/>
      <c r="J78" s="43">
        <f>+J61+J76</f>
        <v>10900</v>
      </c>
      <c r="K78" s="85"/>
      <c r="L78" s="43"/>
      <c r="M78" s="97">
        <f>+M61+M76</f>
        <v>11228</v>
      </c>
      <c r="N78" s="85"/>
      <c r="O78" s="43"/>
      <c r="P78" s="97">
        <f>+P61+P76</f>
        <v>13792</v>
      </c>
      <c r="Q78" s="155"/>
      <c r="R78" s="43">
        <f>+R61+R76</f>
        <v>51020</v>
      </c>
      <c r="S78" s="73"/>
    </row>
    <row r="79" spans="1:21" ht="16.5" thickTop="1" x14ac:dyDescent="0.25">
      <c r="A79" s="38"/>
      <c r="B79" s="18"/>
      <c r="C79" s="18"/>
      <c r="D79" s="115"/>
      <c r="E79" s="83"/>
      <c r="F79" s="19"/>
      <c r="G79" s="49"/>
      <c r="H79" s="60"/>
      <c r="I79" s="32"/>
      <c r="J79" s="32"/>
      <c r="K79" s="86"/>
      <c r="L79" s="32"/>
      <c r="M79" s="49"/>
      <c r="N79" s="86"/>
      <c r="O79" s="32"/>
      <c r="P79" s="49"/>
      <c r="Q79" s="33"/>
      <c r="R79" s="32"/>
      <c r="S79" s="73"/>
    </row>
    <row r="80" spans="1:21" x14ac:dyDescent="0.25">
      <c r="A80" s="38" t="s">
        <v>468</v>
      </c>
      <c r="B80" s="10"/>
      <c r="C80" s="10"/>
      <c r="D80" s="112"/>
      <c r="E80" s="90"/>
      <c r="F80" s="17"/>
      <c r="G80" s="47"/>
      <c r="H80" s="55"/>
      <c r="I80" s="36"/>
      <c r="J80" s="36"/>
      <c r="K80" s="87"/>
      <c r="L80" s="36"/>
      <c r="M80" s="47"/>
      <c r="N80" s="87"/>
      <c r="O80" s="36"/>
      <c r="P80" s="47"/>
      <c r="Q80" s="33"/>
      <c r="R80" s="32"/>
      <c r="S80" s="73"/>
    </row>
    <row r="81" spans="1:19" x14ac:dyDescent="0.25">
      <c r="A81" s="74"/>
      <c r="B81" s="10"/>
      <c r="C81" s="10"/>
      <c r="D81" s="112"/>
      <c r="E81" s="90">
        <v>0</v>
      </c>
      <c r="F81" s="17">
        <v>0</v>
      </c>
      <c r="G81" s="27">
        <f t="shared" ref="G81" si="53">ROUND((+E81*F81),0)</f>
        <v>0</v>
      </c>
      <c r="H81" s="55">
        <v>0</v>
      </c>
      <c r="I81" s="17">
        <f>F81</f>
        <v>0</v>
      </c>
      <c r="J81" s="17">
        <f>ROUND((+H81*I81),0)</f>
        <v>0</v>
      </c>
      <c r="K81" s="87">
        <v>0</v>
      </c>
      <c r="L81" s="17">
        <f>I81*(1+$B$9)</f>
        <v>0</v>
      </c>
      <c r="M81" s="27">
        <f>ROUND((+K81*L81),0)</f>
        <v>0</v>
      </c>
      <c r="N81" s="87">
        <v>0</v>
      </c>
      <c r="O81" s="17">
        <f>L81*(1+$B$9)</f>
        <v>0</v>
      </c>
      <c r="P81" s="27">
        <f>ROUND((+N81*O81),0)</f>
        <v>0</v>
      </c>
      <c r="Q81" s="53">
        <f>E81+H81+K81+N81</f>
        <v>0</v>
      </c>
      <c r="R81" s="32">
        <f>SUM(G81+J81+P81)</f>
        <v>0</v>
      </c>
      <c r="S81" s="73"/>
    </row>
    <row r="82" spans="1:19" x14ac:dyDescent="0.25">
      <c r="A82" s="38"/>
      <c r="B82" s="18"/>
      <c r="C82" s="18"/>
      <c r="D82" s="115"/>
      <c r="E82" s="83"/>
      <c r="F82" s="19"/>
      <c r="G82" s="98"/>
      <c r="H82" s="59"/>
      <c r="I82" s="32"/>
      <c r="J82" s="44"/>
      <c r="K82" s="84"/>
      <c r="L82" s="32"/>
      <c r="M82" s="98"/>
      <c r="N82" s="84"/>
      <c r="O82" s="32"/>
      <c r="P82" s="98"/>
      <c r="Q82" s="33"/>
      <c r="R82" s="32" t="s">
        <v>469</v>
      </c>
      <c r="S82" s="73"/>
    </row>
    <row r="83" spans="1:19" ht="16.5" thickBot="1" x14ac:dyDescent="0.3">
      <c r="A83" s="48" t="s">
        <v>470</v>
      </c>
      <c r="B83" s="24"/>
      <c r="C83" s="24"/>
      <c r="D83" s="116"/>
      <c r="E83" s="91"/>
      <c r="F83" s="25"/>
      <c r="G83" s="97">
        <f>SUM(G81:G81)</f>
        <v>0</v>
      </c>
      <c r="H83" s="61"/>
      <c r="I83" s="43"/>
      <c r="J83" s="43">
        <f>SUM(J81:J81)</f>
        <v>0</v>
      </c>
      <c r="K83" s="88"/>
      <c r="L83" s="43"/>
      <c r="M83" s="97">
        <f>SUM(M81:M81)</f>
        <v>0</v>
      </c>
      <c r="N83" s="88"/>
      <c r="O83" s="43"/>
      <c r="P83" s="97">
        <f>SUM(P81:P81)</f>
        <v>0</v>
      </c>
      <c r="Q83" s="45"/>
      <c r="R83" s="43">
        <f>R81</f>
        <v>0</v>
      </c>
      <c r="S83" s="73"/>
    </row>
    <row r="84" spans="1:19" ht="16.5" thickTop="1" x14ac:dyDescent="0.25">
      <c r="A84" s="74"/>
      <c r="B84" s="10"/>
      <c r="C84" s="10"/>
      <c r="D84" s="112"/>
      <c r="E84" s="90"/>
      <c r="F84" s="17"/>
      <c r="G84" s="47"/>
      <c r="H84" s="55"/>
      <c r="I84" s="36"/>
      <c r="J84" s="148"/>
      <c r="K84" s="87"/>
      <c r="L84" s="36"/>
      <c r="M84" s="99"/>
      <c r="N84" s="87"/>
      <c r="O84" s="36"/>
      <c r="P84" s="99"/>
      <c r="Q84" s="33"/>
      <c r="R84" s="32"/>
      <c r="S84" s="73"/>
    </row>
    <row r="85" spans="1:19" x14ac:dyDescent="0.25">
      <c r="A85" s="38" t="s">
        <v>471</v>
      </c>
      <c r="B85" s="10"/>
      <c r="C85" s="10"/>
      <c r="D85" s="112"/>
      <c r="E85" s="90"/>
      <c r="F85" s="17"/>
      <c r="G85" s="47"/>
      <c r="H85" s="55"/>
      <c r="I85" s="36"/>
      <c r="J85" s="36"/>
      <c r="K85" s="87"/>
      <c r="L85" s="36"/>
      <c r="M85" s="47"/>
      <c r="N85" s="87"/>
      <c r="O85" s="36"/>
      <c r="P85" s="47"/>
      <c r="Q85" s="33"/>
      <c r="R85" s="32"/>
      <c r="S85" s="73"/>
    </row>
    <row r="86" spans="1:19" x14ac:dyDescent="0.25">
      <c r="A86" s="38"/>
      <c r="B86" s="10"/>
      <c r="C86" s="10"/>
      <c r="D86" s="112"/>
      <c r="E86" s="90"/>
      <c r="F86" s="17"/>
      <c r="G86" s="47"/>
      <c r="H86" s="55"/>
      <c r="I86" s="36"/>
      <c r="J86" s="36"/>
      <c r="K86" s="87"/>
      <c r="L86" s="36"/>
      <c r="M86" s="47"/>
      <c r="N86" s="87"/>
      <c r="O86" s="36"/>
      <c r="P86" s="47"/>
      <c r="Q86" s="33"/>
      <c r="R86" s="32"/>
      <c r="S86" s="73"/>
    </row>
    <row r="87" spans="1:19" x14ac:dyDescent="0.25">
      <c r="A87" s="170" t="s">
        <v>472</v>
      </c>
      <c r="B87" s="107"/>
      <c r="C87" s="107" t="s">
        <v>473</v>
      </c>
      <c r="D87" s="114" t="s">
        <v>474</v>
      </c>
      <c r="E87" s="90">
        <f>$B$10*2</f>
        <v>4</v>
      </c>
      <c r="F87" s="17">
        <v>400</v>
      </c>
      <c r="G87" s="27">
        <f t="shared" ref="G87" si="54">ROUND((+E87*F87),0)</f>
        <v>1600</v>
      </c>
      <c r="H87" s="55"/>
      <c r="I87" s="17">
        <f>F87</f>
        <v>400</v>
      </c>
      <c r="J87" s="17">
        <f>ROUND((+H87*I87),0)</f>
        <v>0</v>
      </c>
      <c r="K87" s="87"/>
      <c r="L87" s="17">
        <f>I87*(1+$B$9)</f>
        <v>412</v>
      </c>
      <c r="M87" s="27">
        <f>ROUND((+K87*L87),0)</f>
        <v>0</v>
      </c>
      <c r="N87" s="87"/>
      <c r="O87" s="17">
        <f>L87*(1+$B$9)</f>
        <v>424.36</v>
      </c>
      <c r="P87" s="27">
        <f>ROUND((+N87*O87),0)</f>
        <v>0</v>
      </c>
      <c r="Q87" s="53">
        <f>E87+H87+K87+N87</f>
        <v>4</v>
      </c>
      <c r="R87" s="19">
        <f>G87+J87+M87+P87</f>
        <v>1600</v>
      </c>
      <c r="S87" s="73"/>
    </row>
    <row r="88" spans="1:19" x14ac:dyDescent="0.25">
      <c r="A88" s="30"/>
      <c r="B88" s="10"/>
      <c r="C88" s="10"/>
      <c r="D88" s="112"/>
      <c r="E88" s="90"/>
      <c r="F88" s="17"/>
      <c r="G88" s="47"/>
      <c r="H88" s="55"/>
      <c r="I88" s="36"/>
      <c r="J88" s="36"/>
      <c r="K88" s="87"/>
      <c r="L88" s="36"/>
      <c r="M88" s="47"/>
      <c r="N88" s="87"/>
      <c r="O88" s="36"/>
      <c r="P88" s="47"/>
      <c r="Q88" s="33"/>
      <c r="R88" s="32" t="s">
        <v>475</v>
      </c>
      <c r="S88" s="73"/>
    </row>
    <row r="89" spans="1:19" s="20" customFormat="1" ht="16.5" thickBot="1" x14ac:dyDescent="0.3">
      <c r="A89" s="48" t="s">
        <v>476</v>
      </c>
      <c r="B89" s="24"/>
      <c r="C89" s="24"/>
      <c r="D89" s="116"/>
      <c r="E89" s="91"/>
      <c r="F89" s="25"/>
      <c r="G89" s="97">
        <f>G87</f>
        <v>1600</v>
      </c>
      <c r="H89" s="61"/>
      <c r="I89" s="43"/>
      <c r="J89" s="43">
        <f>J87</f>
        <v>0</v>
      </c>
      <c r="K89" s="88"/>
      <c r="L89" s="43"/>
      <c r="M89" s="97">
        <f>M87</f>
        <v>0</v>
      </c>
      <c r="N89" s="88"/>
      <c r="O89" s="43"/>
      <c r="P89" s="97">
        <f>P87</f>
        <v>0</v>
      </c>
      <c r="Q89" s="45"/>
      <c r="R89" s="43">
        <f>R87</f>
        <v>1600</v>
      </c>
      <c r="S89" s="75"/>
    </row>
    <row r="90" spans="1:19" s="20" customFormat="1" ht="16.5" thickTop="1" x14ac:dyDescent="0.25">
      <c r="A90" s="38"/>
      <c r="B90" s="18"/>
      <c r="C90" s="18"/>
      <c r="D90" s="115"/>
      <c r="E90" s="89"/>
      <c r="F90" s="19"/>
      <c r="G90" s="146"/>
      <c r="H90" s="60"/>
      <c r="I90" s="32"/>
      <c r="J90" s="32"/>
      <c r="K90" s="86"/>
      <c r="L90" s="32"/>
      <c r="M90" s="49"/>
      <c r="N90" s="86"/>
      <c r="O90" s="32"/>
      <c r="P90" s="49"/>
      <c r="Q90" s="33"/>
      <c r="R90" s="32"/>
      <c r="S90" s="75"/>
    </row>
    <row r="91" spans="1:19" x14ac:dyDescent="0.25">
      <c r="A91" s="38" t="s">
        <v>477</v>
      </c>
      <c r="B91" s="18"/>
      <c r="C91" s="18"/>
      <c r="D91" s="115"/>
      <c r="E91" s="89"/>
      <c r="F91" s="19"/>
      <c r="G91" s="49"/>
      <c r="H91" s="60"/>
      <c r="I91" s="32"/>
      <c r="J91" s="32"/>
      <c r="K91" s="86"/>
      <c r="L91" s="32"/>
      <c r="M91" s="49"/>
      <c r="N91" s="86"/>
      <c r="O91" s="32"/>
      <c r="P91" s="49"/>
      <c r="Q91" s="33"/>
      <c r="R91" s="32"/>
      <c r="S91" s="73"/>
    </row>
    <row r="92" spans="1:19" x14ac:dyDescent="0.25">
      <c r="A92" s="38"/>
      <c r="B92" s="18"/>
      <c r="C92" s="18"/>
      <c r="D92" s="115"/>
      <c r="E92" s="89"/>
      <c r="F92" s="19"/>
      <c r="G92" s="49"/>
      <c r="H92" s="60"/>
      <c r="I92" s="32"/>
      <c r="J92" s="32"/>
      <c r="K92" s="86"/>
      <c r="L92" s="32"/>
      <c r="M92" s="49"/>
      <c r="N92" s="86"/>
      <c r="O92" s="32"/>
      <c r="P92" s="49"/>
      <c r="Q92" s="33"/>
      <c r="R92" s="32"/>
      <c r="S92" s="73"/>
    </row>
    <row r="93" spans="1:19" x14ac:dyDescent="0.25">
      <c r="A93" s="38" t="s">
        <v>478</v>
      </c>
      <c r="B93" s="10"/>
      <c r="C93" s="10"/>
      <c r="D93" s="112"/>
      <c r="E93" s="57"/>
      <c r="F93" s="17"/>
      <c r="G93" s="47"/>
      <c r="H93" s="62"/>
      <c r="I93" s="36"/>
      <c r="J93" s="36"/>
      <c r="K93" s="66"/>
      <c r="L93" s="36"/>
      <c r="M93" s="47"/>
      <c r="N93" s="66"/>
      <c r="O93" s="36"/>
      <c r="P93" s="47"/>
      <c r="Q93" s="156"/>
      <c r="R93" s="32"/>
      <c r="S93" s="73"/>
    </row>
    <row r="94" spans="1:19" x14ac:dyDescent="0.25">
      <c r="A94" s="175" t="s">
        <v>479</v>
      </c>
      <c r="B94" s="10"/>
      <c r="C94" s="10"/>
      <c r="D94" s="112"/>
      <c r="E94" s="57"/>
      <c r="F94" s="17"/>
      <c r="G94" s="47"/>
      <c r="H94" s="62"/>
      <c r="I94" s="36"/>
      <c r="J94" s="36"/>
      <c r="K94" s="66"/>
      <c r="L94" s="36"/>
      <c r="M94" s="47"/>
      <c r="N94" s="66"/>
      <c r="O94" s="36"/>
      <c r="P94" s="47"/>
      <c r="Q94" s="156"/>
      <c r="R94" s="32"/>
      <c r="S94" s="73"/>
    </row>
    <row r="95" spans="1:19" x14ac:dyDescent="0.25">
      <c r="A95" s="30" t="s">
        <v>480</v>
      </c>
      <c r="B95" s="10"/>
      <c r="C95" s="10"/>
      <c r="D95" s="112" t="s">
        <v>481</v>
      </c>
      <c r="E95" s="57">
        <v>11</v>
      </c>
      <c r="F95" s="17">
        <v>550</v>
      </c>
      <c r="G95" s="27">
        <f t="shared" ref="G95" si="55">ROUND((+E95*F95),0)</f>
        <v>6050</v>
      </c>
      <c r="H95" s="62">
        <v>3</v>
      </c>
      <c r="I95" s="17">
        <f>F95</f>
        <v>550</v>
      </c>
      <c r="J95" s="17">
        <f>ROUND((+H95*I95),0)</f>
        <v>1650</v>
      </c>
      <c r="K95" s="66">
        <v>3</v>
      </c>
      <c r="L95" s="17">
        <f>I95*(1+$B$9)</f>
        <v>566.5</v>
      </c>
      <c r="M95" s="27">
        <f>ROUND((+K95*L95),0)</f>
        <v>1700</v>
      </c>
      <c r="N95" s="66">
        <v>3</v>
      </c>
      <c r="O95" s="17">
        <f>L95*(1+$B$9)</f>
        <v>583.495</v>
      </c>
      <c r="P95" s="27">
        <f>ROUND((+N95*O95),0)</f>
        <v>1750</v>
      </c>
      <c r="Q95" s="53">
        <f t="shared" ref="Q95" si="56">E95+H95+K95+N95</f>
        <v>20</v>
      </c>
      <c r="R95" s="19">
        <f>G95+J95+M95+P95</f>
        <v>11150</v>
      </c>
      <c r="S95" s="73"/>
    </row>
    <row r="96" spans="1:19" x14ac:dyDescent="0.25">
      <c r="A96" s="175" t="s">
        <v>482</v>
      </c>
      <c r="B96" s="16"/>
      <c r="C96" s="10"/>
      <c r="D96" s="112"/>
      <c r="E96" s="57"/>
      <c r="F96" s="17"/>
      <c r="G96" s="47"/>
      <c r="H96" s="62"/>
      <c r="I96" s="36"/>
      <c r="J96" s="36"/>
      <c r="K96" s="66"/>
      <c r="L96" s="36"/>
      <c r="M96" s="47"/>
      <c r="N96" s="66"/>
      <c r="O96" s="36"/>
      <c r="P96" s="47"/>
      <c r="Q96" s="53"/>
      <c r="R96" s="32"/>
      <c r="S96" s="73"/>
    </row>
    <row r="97" spans="1:53" x14ac:dyDescent="0.25">
      <c r="A97" s="30" t="s">
        <v>483</v>
      </c>
      <c r="B97" s="10"/>
      <c r="C97" s="10"/>
      <c r="D97" s="112" t="s">
        <v>484</v>
      </c>
      <c r="E97" s="57">
        <v>7</v>
      </c>
      <c r="F97" s="17">
        <v>550</v>
      </c>
      <c r="G97" s="27">
        <f t="shared" ref="G97" si="57">ROUND((+E97*F97),0)</f>
        <v>3850</v>
      </c>
      <c r="H97" s="62">
        <v>7</v>
      </c>
      <c r="I97" s="17">
        <f>F97</f>
        <v>550</v>
      </c>
      <c r="J97" s="17">
        <f>ROUND((+H97*I97),0)</f>
        <v>3850</v>
      </c>
      <c r="K97" s="66">
        <v>7</v>
      </c>
      <c r="L97" s="17">
        <f>I97*(1+$B$9)</f>
        <v>566.5</v>
      </c>
      <c r="M97" s="27">
        <f>ROUND((+K97*L97),0)</f>
        <v>3966</v>
      </c>
      <c r="N97" s="66">
        <v>7</v>
      </c>
      <c r="O97" s="17">
        <f>L97*(1+$B$9)</f>
        <v>583.495</v>
      </c>
      <c r="P97" s="27">
        <f>ROUND((+N97*O97),0)</f>
        <v>4084</v>
      </c>
      <c r="Q97" s="53">
        <f>E97+H97+K97+N97</f>
        <v>28</v>
      </c>
      <c r="R97" s="19">
        <f>G97+J97+M97+P97</f>
        <v>15750</v>
      </c>
      <c r="S97" s="73"/>
    </row>
    <row r="98" spans="1:53" x14ac:dyDescent="0.25">
      <c r="A98" s="30"/>
      <c r="B98" s="10"/>
      <c r="C98" s="10"/>
      <c r="D98" s="112"/>
      <c r="E98" s="57"/>
      <c r="F98" s="17"/>
      <c r="G98" s="47"/>
      <c r="H98" s="62"/>
      <c r="I98" s="36"/>
      <c r="J98" s="36"/>
      <c r="K98" s="66"/>
      <c r="L98" s="36"/>
      <c r="M98" s="47"/>
      <c r="N98" s="66"/>
      <c r="O98" s="36"/>
      <c r="P98" s="47"/>
      <c r="Q98" s="42"/>
      <c r="R98" s="32"/>
      <c r="S98" s="73"/>
    </row>
    <row r="99" spans="1:53" s="20" customFormat="1" x14ac:dyDescent="0.25">
      <c r="A99" s="38" t="s">
        <v>485</v>
      </c>
      <c r="B99" s="28"/>
      <c r="C99" s="18"/>
      <c r="D99" s="115"/>
      <c r="E99" s="83">
        <f>SUM(E95:E98)</f>
        <v>18</v>
      </c>
      <c r="F99" s="19"/>
      <c r="G99" s="49">
        <f>SUM(G94:G98)</f>
        <v>9900</v>
      </c>
      <c r="H99" s="58">
        <f>SUM(H95:H98)</f>
        <v>10</v>
      </c>
      <c r="I99" s="32" t="s">
        <v>486</v>
      </c>
      <c r="J99" s="32">
        <f>SUM(J94:J98)</f>
        <v>5500</v>
      </c>
      <c r="K99" s="83">
        <f>SUM(K95:K98)</f>
        <v>10</v>
      </c>
      <c r="L99" s="32" t="s">
        <v>487</v>
      </c>
      <c r="M99" s="49">
        <f>SUM(M94:M98)</f>
        <v>5666</v>
      </c>
      <c r="N99" s="83">
        <f>SUM(N95:N98)</f>
        <v>10</v>
      </c>
      <c r="O99" s="32" t="s">
        <v>488</v>
      </c>
      <c r="P99" s="49">
        <f>SUM(P94:P98)</f>
        <v>5834</v>
      </c>
      <c r="Q99" s="123">
        <f>E99+H99+K99+N99</f>
        <v>48</v>
      </c>
      <c r="R99" s="32">
        <f>SUM(R94:R98)</f>
        <v>26900</v>
      </c>
      <c r="S99" s="75"/>
    </row>
    <row r="100" spans="1:53" x14ac:dyDescent="0.25">
      <c r="A100" s="74" t="s">
        <v>489</v>
      </c>
      <c r="B100" s="16"/>
      <c r="C100" s="10"/>
      <c r="D100" s="112"/>
      <c r="E100" s="57" t="s">
        <v>490</v>
      </c>
      <c r="F100" s="17" t="s">
        <v>491</v>
      </c>
      <c r="G100" s="47" t="s">
        <v>492</v>
      </c>
      <c r="H100" s="62" t="s">
        <v>493</v>
      </c>
      <c r="I100" s="36" t="s">
        <v>494</v>
      </c>
      <c r="J100" s="36" t="s">
        <v>495</v>
      </c>
      <c r="K100" s="66" t="s">
        <v>496</v>
      </c>
      <c r="L100" s="36" t="s">
        <v>497</v>
      </c>
      <c r="M100" s="47" t="s">
        <v>498</v>
      </c>
      <c r="N100" s="66" t="s">
        <v>499</v>
      </c>
      <c r="O100" s="36" t="s">
        <v>500</v>
      </c>
      <c r="P100" s="47" t="s">
        <v>501</v>
      </c>
      <c r="Q100" s="157" t="s">
        <v>502</v>
      </c>
      <c r="R100" s="32" t="s">
        <v>503</v>
      </c>
      <c r="S100" s="73"/>
    </row>
    <row r="101" spans="1:53" x14ac:dyDescent="0.25">
      <c r="A101" s="160" t="s">
        <v>504</v>
      </c>
      <c r="B101" s="10"/>
      <c r="C101" s="10"/>
      <c r="D101" s="112"/>
      <c r="E101" s="57" t="s">
        <v>505</v>
      </c>
      <c r="F101" s="17" t="s">
        <v>506</v>
      </c>
      <c r="G101" s="47" t="s">
        <v>507</v>
      </c>
      <c r="H101" s="62" t="s">
        <v>508</v>
      </c>
      <c r="I101" s="36" t="s">
        <v>509</v>
      </c>
      <c r="J101" s="36" t="s">
        <v>510</v>
      </c>
      <c r="K101" s="66" t="s">
        <v>511</v>
      </c>
      <c r="L101" s="36" t="s">
        <v>512</v>
      </c>
      <c r="M101" s="47" t="s">
        <v>513</v>
      </c>
      <c r="N101" s="66" t="s">
        <v>514</v>
      </c>
      <c r="O101" s="36" t="s">
        <v>515</v>
      </c>
      <c r="P101" s="47" t="s">
        <v>516</v>
      </c>
      <c r="Q101" s="157" t="s">
        <v>517</v>
      </c>
      <c r="R101" s="32" t="s">
        <v>518</v>
      </c>
      <c r="S101" s="73"/>
    </row>
    <row r="102" spans="1:53" x14ac:dyDescent="0.25">
      <c r="A102" s="175" t="s">
        <v>519</v>
      </c>
      <c r="B102" s="10"/>
      <c r="C102" s="10"/>
      <c r="D102" s="112"/>
      <c r="E102" s="57"/>
      <c r="F102" s="17"/>
      <c r="G102" s="47"/>
      <c r="H102" s="62"/>
      <c r="I102" s="36"/>
      <c r="J102" s="36"/>
      <c r="K102" s="66"/>
      <c r="L102" s="36"/>
      <c r="M102" s="47"/>
      <c r="N102" s="66"/>
      <c r="O102" s="36"/>
      <c r="P102" s="47"/>
      <c r="Q102" s="156"/>
      <c r="R102" s="32"/>
      <c r="S102" s="73"/>
    </row>
    <row r="103" spans="1:53" x14ac:dyDescent="0.25">
      <c r="A103" s="30" t="s">
        <v>520</v>
      </c>
      <c r="B103" s="10"/>
      <c r="C103" s="10"/>
      <c r="D103" s="112" t="s">
        <v>521</v>
      </c>
      <c r="E103" s="57">
        <v>6</v>
      </c>
      <c r="F103" s="17">
        <v>300</v>
      </c>
      <c r="G103" s="27">
        <f t="shared" ref="G103" si="58">ROUND((+E103*F103),0)</f>
        <v>1800</v>
      </c>
      <c r="H103" s="62"/>
      <c r="I103" s="17">
        <f>F103</f>
        <v>300</v>
      </c>
      <c r="J103" s="17">
        <f>ROUND((+H103*I103),0)</f>
        <v>0</v>
      </c>
      <c r="K103" s="66"/>
      <c r="L103" s="17">
        <f>I103*(1+$B$9)</f>
        <v>309</v>
      </c>
      <c r="M103" s="27">
        <f>ROUND((+K103*L103),0)</f>
        <v>0</v>
      </c>
      <c r="N103" s="66">
        <v>6</v>
      </c>
      <c r="O103" s="17">
        <f>L103*(1+$B$9)</f>
        <v>318.27</v>
      </c>
      <c r="P103" s="27">
        <f>ROUND((+N103*O103),0)</f>
        <v>1910</v>
      </c>
      <c r="Q103" s="53">
        <f>E103+H103+K103+N103</f>
        <v>12</v>
      </c>
      <c r="R103" s="19">
        <f>G103+J103+M103+P103</f>
        <v>3710</v>
      </c>
      <c r="S103" s="73"/>
    </row>
    <row r="104" spans="1:53" x14ac:dyDescent="0.25">
      <c r="A104" s="175" t="s">
        <v>522</v>
      </c>
      <c r="B104" s="16"/>
      <c r="C104" s="10"/>
      <c r="D104" s="112"/>
      <c r="E104" s="57"/>
      <c r="F104" s="17"/>
      <c r="G104" s="47"/>
      <c r="H104" s="62"/>
      <c r="I104" s="36"/>
      <c r="J104" s="36"/>
      <c r="K104" s="66"/>
      <c r="L104" s="36"/>
      <c r="M104" s="47"/>
      <c r="N104" s="66"/>
      <c r="O104" s="36"/>
      <c r="P104" s="47"/>
      <c r="Q104" s="53"/>
      <c r="R104" s="32"/>
      <c r="S104" s="73"/>
    </row>
    <row r="105" spans="1:53" x14ac:dyDescent="0.25">
      <c r="A105" s="30" t="s">
        <v>523</v>
      </c>
      <c r="B105" s="10"/>
      <c r="C105" s="10"/>
      <c r="D105" s="112" t="s">
        <v>524</v>
      </c>
      <c r="E105" s="57">
        <v>7</v>
      </c>
      <c r="F105" s="17">
        <v>250</v>
      </c>
      <c r="G105" s="27">
        <f t="shared" ref="G105" si="59">ROUND((+E105*F105),0)</f>
        <v>1750</v>
      </c>
      <c r="H105" s="62">
        <v>7</v>
      </c>
      <c r="I105" s="17">
        <f>F105</f>
        <v>250</v>
      </c>
      <c r="J105" s="17">
        <f>ROUND((+H105*I105),0)</f>
        <v>1750</v>
      </c>
      <c r="K105" s="66">
        <v>7</v>
      </c>
      <c r="L105" s="17">
        <f>I105*(1+$B$9)</f>
        <v>257.5</v>
      </c>
      <c r="M105" s="27">
        <f>ROUND((+K105*L105),0)</f>
        <v>1803</v>
      </c>
      <c r="N105" s="66">
        <v>7</v>
      </c>
      <c r="O105" s="17">
        <f>L105*(1+$B$9)</f>
        <v>265.22500000000002</v>
      </c>
      <c r="P105" s="27">
        <f>ROUND((+N105*O105),0)</f>
        <v>1857</v>
      </c>
      <c r="Q105" s="53">
        <f>E105+H105+K105+N105</f>
        <v>28</v>
      </c>
      <c r="R105" s="19">
        <f>G105+J105+M105+P105</f>
        <v>7160</v>
      </c>
      <c r="S105" s="73"/>
    </row>
    <row r="106" spans="1:53" x14ac:dyDescent="0.25">
      <c r="A106" s="175" t="s">
        <v>525</v>
      </c>
      <c r="B106" s="10"/>
      <c r="C106" s="10"/>
      <c r="D106" s="112"/>
      <c r="E106" s="57"/>
      <c r="F106" s="17"/>
      <c r="G106" s="47"/>
      <c r="H106" s="62"/>
      <c r="I106" s="36"/>
      <c r="J106" s="36"/>
      <c r="K106" s="66"/>
      <c r="L106" s="36"/>
      <c r="M106" s="47"/>
      <c r="N106" s="66"/>
      <c r="O106" s="36"/>
      <c r="P106" s="47"/>
      <c r="Q106" s="53"/>
      <c r="R106" s="32"/>
      <c r="S106" s="73"/>
    </row>
    <row r="107" spans="1:53" x14ac:dyDescent="0.25">
      <c r="A107" s="170" t="s">
        <v>526</v>
      </c>
      <c r="B107" s="107"/>
      <c r="C107" s="107" t="s">
        <v>527</v>
      </c>
      <c r="D107" s="114" t="s">
        <v>528</v>
      </c>
      <c r="E107" s="57">
        <f>$B$10*7</f>
        <v>14</v>
      </c>
      <c r="F107" s="17">
        <v>250</v>
      </c>
      <c r="G107" s="27">
        <f t="shared" ref="G107" si="60">ROUND((+E107*F107),0)</f>
        <v>3500</v>
      </c>
      <c r="H107" s="56">
        <f>$B$10*7</f>
        <v>14</v>
      </c>
      <c r="I107" s="17">
        <f>F107</f>
        <v>250</v>
      </c>
      <c r="J107" s="17">
        <f>ROUND((+H107*I107),0)</f>
        <v>3500</v>
      </c>
      <c r="K107" s="57">
        <f>$B$10*7</f>
        <v>14</v>
      </c>
      <c r="L107" s="17">
        <f>I107*(1+$B$9)</f>
        <v>257.5</v>
      </c>
      <c r="M107" s="27">
        <f>ROUND((+K107*L107),0)</f>
        <v>3605</v>
      </c>
      <c r="N107" s="57">
        <f>$B$10*7</f>
        <v>14</v>
      </c>
      <c r="O107" s="17">
        <f>L107*(1+$B$9)</f>
        <v>265.22500000000002</v>
      </c>
      <c r="P107" s="27">
        <f>ROUND((+N107*O107),0)</f>
        <v>3713</v>
      </c>
      <c r="Q107" s="53">
        <f>E107+H107+K107+N107</f>
        <v>56</v>
      </c>
      <c r="R107" s="19">
        <f>G107+J107+M107+P107</f>
        <v>14318</v>
      </c>
      <c r="S107" s="73"/>
    </row>
    <row r="108" spans="1:53" x14ac:dyDescent="0.25">
      <c r="A108" s="74"/>
      <c r="B108" s="16"/>
      <c r="C108" s="10"/>
      <c r="D108" s="112"/>
      <c r="E108" s="57"/>
      <c r="F108" s="17"/>
      <c r="G108" s="47"/>
      <c r="H108" s="62"/>
      <c r="I108" s="36"/>
      <c r="J108" s="36"/>
      <c r="K108" s="66"/>
      <c r="L108" s="36"/>
      <c r="M108" s="47"/>
      <c r="N108" s="66"/>
      <c r="O108" s="36"/>
      <c r="P108" s="47"/>
      <c r="Q108" s="158"/>
      <c r="R108" s="32"/>
      <c r="S108" s="73"/>
    </row>
    <row r="109" spans="1:53" s="34" customFormat="1" x14ac:dyDescent="0.25">
      <c r="A109" s="38" t="s">
        <v>529</v>
      </c>
      <c r="B109" s="33"/>
      <c r="C109" s="33"/>
      <c r="D109" s="117"/>
      <c r="E109" s="84">
        <f>SUM(E103:E107)</f>
        <v>27</v>
      </c>
      <c r="F109" s="32"/>
      <c r="G109" s="49">
        <f>SUM(G101:G108)</f>
        <v>7050</v>
      </c>
      <c r="H109" s="59">
        <f>SUM(H103:H107)</f>
        <v>21</v>
      </c>
      <c r="I109" s="32"/>
      <c r="J109" s="32">
        <f>SUM(J101:J108)</f>
        <v>5250</v>
      </c>
      <c r="K109" s="84">
        <f>SUM(K103:K107)</f>
        <v>21</v>
      </c>
      <c r="L109" s="32"/>
      <c r="M109" s="49">
        <f>SUM(M101:M108)</f>
        <v>5408</v>
      </c>
      <c r="N109" s="84">
        <f>SUM(N103:N107)</f>
        <v>27</v>
      </c>
      <c r="O109" s="32"/>
      <c r="P109" s="49">
        <f>SUM(P101:P108)</f>
        <v>7480</v>
      </c>
      <c r="Q109" s="59">
        <f>SUM(Q103:Q107)</f>
        <v>96</v>
      </c>
      <c r="R109" s="49">
        <f>SUM(R101:R108)</f>
        <v>25188</v>
      </c>
      <c r="S109" s="77"/>
    </row>
    <row r="110" spans="1:53" x14ac:dyDescent="0.25">
      <c r="A110" s="74"/>
      <c r="B110" s="10"/>
      <c r="C110" s="10"/>
      <c r="D110" s="112"/>
      <c r="E110" s="57"/>
      <c r="F110" s="17"/>
      <c r="G110" s="47"/>
      <c r="H110" s="62"/>
      <c r="I110" s="36"/>
      <c r="J110" s="36"/>
      <c r="K110" s="66"/>
      <c r="L110" s="36"/>
      <c r="M110" s="47"/>
      <c r="N110" s="66"/>
      <c r="O110" s="36"/>
      <c r="P110" s="47"/>
      <c r="Q110" s="159"/>
      <c r="R110" s="32"/>
      <c r="S110" s="73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</row>
    <row r="111" spans="1:53" s="20" customFormat="1" x14ac:dyDescent="0.25">
      <c r="A111" s="172" t="s">
        <v>530</v>
      </c>
      <c r="B111" s="18"/>
      <c r="C111" s="18"/>
      <c r="D111" s="115"/>
      <c r="E111" s="89">
        <f>SUM(E99,E109)</f>
        <v>45</v>
      </c>
      <c r="F111" s="19"/>
      <c r="G111" s="49">
        <f>SUM(G99,G109)</f>
        <v>16950</v>
      </c>
      <c r="H111" s="60">
        <f>SUM(H99,H109)</f>
        <v>31</v>
      </c>
      <c r="I111" s="32"/>
      <c r="J111" s="32">
        <f>SUM(J99,J109)</f>
        <v>10750</v>
      </c>
      <c r="K111" s="86">
        <f>SUM(K99,K109)</f>
        <v>31</v>
      </c>
      <c r="L111" s="32"/>
      <c r="M111" s="49">
        <f>SUM(M99,M109)</f>
        <v>11074</v>
      </c>
      <c r="N111" s="86">
        <f>SUM(N99,N109)</f>
        <v>37</v>
      </c>
      <c r="O111" s="32"/>
      <c r="P111" s="49">
        <f>SUM(P99,P109)</f>
        <v>13314</v>
      </c>
      <c r="Q111" s="59">
        <f>SUM(Q99,Q109)</f>
        <v>144</v>
      </c>
      <c r="R111" s="32">
        <f>SUM(R99,R109)</f>
        <v>52088</v>
      </c>
      <c r="S111" s="75"/>
    </row>
    <row r="112" spans="1:53" x14ac:dyDescent="0.25">
      <c r="A112" s="38"/>
      <c r="B112" s="18"/>
      <c r="C112" s="18"/>
      <c r="D112" s="115"/>
      <c r="E112" s="89"/>
      <c r="F112" s="19"/>
      <c r="G112" s="49"/>
      <c r="H112" s="68"/>
      <c r="I112" s="19"/>
      <c r="J112" s="32"/>
      <c r="K112" s="89"/>
      <c r="L112" s="19"/>
      <c r="M112" s="49"/>
      <c r="N112" s="89"/>
      <c r="O112" s="19"/>
      <c r="P112" s="49"/>
      <c r="Q112" s="18"/>
      <c r="R112" s="32"/>
      <c r="S112" s="73"/>
    </row>
    <row r="113" spans="1:19" ht="16.5" thickBot="1" x14ac:dyDescent="0.3">
      <c r="A113" s="48" t="s">
        <v>531</v>
      </c>
      <c r="B113" s="24"/>
      <c r="C113" s="24"/>
      <c r="D113" s="116"/>
      <c r="E113" s="91"/>
      <c r="F113" s="25"/>
      <c r="G113" s="46">
        <f>G111</f>
        <v>16950</v>
      </c>
      <c r="H113" s="67"/>
      <c r="I113" s="25"/>
      <c r="J113" s="46">
        <f>J111</f>
        <v>10750</v>
      </c>
      <c r="K113" s="91"/>
      <c r="L113" s="25"/>
      <c r="M113" s="46">
        <f>M111</f>
        <v>11074</v>
      </c>
      <c r="N113" s="91"/>
      <c r="O113" s="25"/>
      <c r="P113" s="46">
        <f>P111</f>
        <v>13314</v>
      </c>
      <c r="Q113" s="24"/>
      <c r="R113" s="46">
        <f>R111</f>
        <v>52088</v>
      </c>
      <c r="S113" s="73">
        <f>G113+J113+M113+P113</f>
        <v>52088</v>
      </c>
    </row>
    <row r="114" spans="1:19" ht="16.5" thickTop="1" x14ac:dyDescent="0.25">
      <c r="A114" s="38"/>
      <c r="B114" s="18"/>
      <c r="C114" s="18"/>
      <c r="D114" s="115"/>
      <c r="E114" s="90"/>
      <c r="F114" s="17"/>
      <c r="G114" s="147"/>
      <c r="H114" s="124"/>
      <c r="I114" s="35"/>
      <c r="J114" s="149"/>
      <c r="K114" s="92"/>
      <c r="L114" s="35"/>
      <c r="M114" s="101"/>
      <c r="N114" s="92"/>
      <c r="O114" s="35"/>
      <c r="P114" s="101"/>
      <c r="Q114" s="18"/>
      <c r="R114" s="19"/>
      <c r="S114" s="73"/>
    </row>
    <row r="115" spans="1:19" s="20" customFormat="1" x14ac:dyDescent="0.25">
      <c r="A115" s="38" t="s">
        <v>532</v>
      </c>
      <c r="B115" s="18"/>
      <c r="C115" s="18"/>
      <c r="D115" s="115"/>
      <c r="E115" s="90"/>
      <c r="F115" s="17"/>
      <c r="G115" s="27"/>
      <c r="H115" s="124"/>
      <c r="I115" s="35"/>
      <c r="J115" s="35"/>
      <c r="K115" s="92"/>
      <c r="L115" s="35"/>
      <c r="M115" s="102"/>
      <c r="N115" s="92"/>
      <c r="O115" s="35"/>
      <c r="P115" s="102"/>
      <c r="Q115" s="18"/>
      <c r="R115" s="72"/>
      <c r="S115" s="75"/>
    </row>
    <row r="116" spans="1:19" s="20" customFormat="1" x14ac:dyDescent="0.25">
      <c r="A116" s="38"/>
      <c r="B116" s="18"/>
      <c r="C116" s="18"/>
      <c r="D116" s="115"/>
      <c r="E116" s="90"/>
      <c r="F116" s="17"/>
      <c r="G116" s="27"/>
      <c r="H116" s="124"/>
      <c r="I116" s="35"/>
      <c r="J116" s="35"/>
      <c r="K116" s="92"/>
      <c r="L116" s="35"/>
      <c r="M116" s="102"/>
      <c r="N116" s="92"/>
      <c r="O116" s="35"/>
      <c r="P116" s="102"/>
      <c r="Q116" s="18"/>
      <c r="R116" s="72"/>
      <c r="S116" s="75"/>
    </row>
    <row r="117" spans="1:19" x14ac:dyDescent="0.25">
      <c r="A117" s="38" t="s">
        <v>533</v>
      </c>
      <c r="B117" s="10"/>
      <c r="C117" s="10"/>
      <c r="D117" s="112"/>
      <c r="E117" s="90"/>
      <c r="F117" s="17"/>
      <c r="G117" s="27"/>
      <c r="H117" s="124"/>
      <c r="I117" s="35"/>
      <c r="J117" s="35"/>
      <c r="K117" s="92"/>
      <c r="L117" s="35"/>
      <c r="M117" s="102"/>
      <c r="N117" s="92"/>
      <c r="O117" s="35"/>
      <c r="P117" s="102"/>
      <c r="R117" s="72"/>
      <c r="S117" s="73"/>
    </row>
    <row r="118" spans="1:19" x14ac:dyDescent="0.25">
      <c r="A118" s="74"/>
      <c r="B118" s="10"/>
      <c r="C118" s="10"/>
      <c r="D118" s="112"/>
      <c r="E118" s="90"/>
      <c r="F118" s="17"/>
      <c r="G118" s="27"/>
      <c r="H118" s="54"/>
      <c r="I118" s="17"/>
      <c r="J118" s="17"/>
      <c r="K118" s="90"/>
      <c r="L118" s="17"/>
      <c r="M118" s="27"/>
      <c r="N118" s="90"/>
      <c r="O118" s="17"/>
      <c r="P118" s="27"/>
      <c r="Q118" s="18"/>
      <c r="R118" s="19"/>
      <c r="S118" s="73"/>
    </row>
    <row r="119" spans="1:19" x14ac:dyDescent="0.25">
      <c r="A119" s="173" t="s">
        <v>534</v>
      </c>
      <c r="B119" s="16"/>
      <c r="C119" s="10"/>
      <c r="D119" s="112"/>
      <c r="E119" s="57"/>
      <c r="F119" s="17"/>
      <c r="G119" s="27"/>
      <c r="H119" s="56"/>
      <c r="I119" s="17"/>
      <c r="J119" s="17"/>
      <c r="K119" s="57"/>
      <c r="L119" s="17"/>
      <c r="M119" s="27"/>
      <c r="N119" s="57"/>
      <c r="O119" s="17"/>
      <c r="P119" s="27"/>
      <c r="Q119" s="28"/>
      <c r="R119" s="19"/>
      <c r="S119" s="73"/>
    </row>
    <row r="120" spans="1:19" x14ac:dyDescent="0.25">
      <c r="A120" s="161" t="s">
        <v>535</v>
      </c>
      <c r="B120" s="16"/>
      <c r="C120" s="10"/>
      <c r="D120" s="112" t="s">
        <v>536</v>
      </c>
      <c r="E120" s="57">
        <v>1</v>
      </c>
      <c r="F120" s="17">
        <v>500</v>
      </c>
      <c r="G120" s="27">
        <f t="shared" ref="G120:G121" si="61">ROUND((+E120*F120),0)</f>
        <v>500</v>
      </c>
      <c r="H120" s="56"/>
      <c r="I120" s="17">
        <f>F120</f>
        <v>500</v>
      </c>
      <c r="J120" s="17">
        <f>ROUND((+H120*I120),0)</f>
        <v>0</v>
      </c>
      <c r="K120" s="57"/>
      <c r="L120" s="17">
        <f>I120*(1+$B$9)</f>
        <v>515</v>
      </c>
      <c r="M120" s="27">
        <f>ROUND((+K120*L120),0)</f>
        <v>0</v>
      </c>
      <c r="N120" s="57"/>
      <c r="O120" s="17">
        <f>L120*(1+$B$9)</f>
        <v>530.45000000000005</v>
      </c>
      <c r="P120" s="27">
        <f>ROUND((+N120*O120),0)</f>
        <v>0</v>
      </c>
      <c r="Q120" s="53">
        <f>E120+H120+K120+N120</f>
        <v>1</v>
      </c>
      <c r="R120" s="19">
        <f>G120+J120+M120+P120</f>
        <v>500</v>
      </c>
      <c r="S120" s="73"/>
    </row>
    <row r="121" spans="1:19" x14ac:dyDescent="0.25">
      <c r="A121" s="161" t="s">
        <v>537</v>
      </c>
      <c r="B121" s="16"/>
      <c r="C121" s="10"/>
      <c r="D121" s="112" t="s">
        <v>538</v>
      </c>
      <c r="E121" s="57"/>
      <c r="F121" s="17">
        <v>1500</v>
      </c>
      <c r="G121" s="27">
        <f t="shared" si="61"/>
        <v>0</v>
      </c>
      <c r="H121" s="179">
        <v>0</v>
      </c>
      <c r="I121" s="180">
        <v>1500</v>
      </c>
      <c r="J121" s="180">
        <f>ROUND((+H121*I121),0)</f>
        <v>0</v>
      </c>
      <c r="K121" s="57">
        <v>0</v>
      </c>
      <c r="L121" s="17">
        <f>I121*(1+$B$9)</f>
        <v>1545</v>
      </c>
      <c r="M121" s="27">
        <f>ROUND((+K121*L121),0)</f>
        <v>0</v>
      </c>
      <c r="N121" s="57">
        <v>0</v>
      </c>
      <c r="O121" s="17">
        <f>L121*(1+$B$9)</f>
        <v>1591.3500000000001</v>
      </c>
      <c r="P121" s="27">
        <f>ROUND((+N121*O121),0)</f>
        <v>0</v>
      </c>
      <c r="Q121" s="53">
        <f>E121+H121+K121+N121</f>
        <v>0</v>
      </c>
      <c r="R121" s="19">
        <f>G121+J121+M121+P121</f>
        <v>0</v>
      </c>
      <c r="S121" s="73"/>
    </row>
    <row r="122" spans="1:19" x14ac:dyDescent="0.25">
      <c r="A122" s="161" t="s">
        <v>539</v>
      </c>
      <c r="B122" s="16"/>
      <c r="C122" s="10"/>
      <c r="D122" s="112"/>
      <c r="E122" s="57"/>
      <c r="F122" s="17"/>
      <c r="G122" s="27"/>
      <c r="H122" s="56"/>
      <c r="I122" s="17"/>
      <c r="J122" s="17"/>
      <c r="K122" s="57"/>
      <c r="L122" s="17"/>
      <c r="M122" s="27"/>
      <c r="N122" s="57"/>
      <c r="O122" s="17"/>
      <c r="P122" s="27"/>
      <c r="Q122" s="28"/>
      <c r="R122" s="19"/>
      <c r="S122" s="73"/>
    </row>
    <row r="123" spans="1:19" x14ac:dyDescent="0.25">
      <c r="A123" s="30" t="s">
        <v>540</v>
      </c>
      <c r="B123" s="16"/>
      <c r="C123" s="10"/>
      <c r="D123" s="112" t="s">
        <v>541</v>
      </c>
      <c r="E123" s="57"/>
      <c r="F123" s="17">
        <v>500</v>
      </c>
      <c r="G123" s="27">
        <f t="shared" ref="G123:G124" si="62">ROUND((+E123*F123),0)</f>
        <v>0</v>
      </c>
      <c r="H123" s="56">
        <v>0</v>
      </c>
      <c r="I123" s="17">
        <v>500</v>
      </c>
      <c r="J123" s="17">
        <f t="shared" ref="J123:J124" si="63">ROUND((+H123*I123),0)</f>
        <v>0</v>
      </c>
      <c r="K123" s="57">
        <v>0</v>
      </c>
      <c r="L123" s="17">
        <f t="shared" ref="L123:L124" si="64">I123*(1+$B$9)</f>
        <v>515</v>
      </c>
      <c r="M123" s="27">
        <f t="shared" ref="M123:M124" si="65">ROUND((+K123*L123),0)</f>
        <v>0</v>
      </c>
      <c r="N123" s="57">
        <v>0</v>
      </c>
      <c r="O123" s="17">
        <f t="shared" ref="O123:O124" si="66">L123*(1+$B$9)</f>
        <v>530.45000000000005</v>
      </c>
      <c r="P123" s="27">
        <f t="shared" ref="P123:P124" si="67">ROUND((+N123*O123),0)</f>
        <v>0</v>
      </c>
      <c r="Q123" s="53">
        <f t="shared" ref="Q123:Q124" si="68">E123+H123+K123+N123</f>
        <v>0</v>
      </c>
      <c r="R123" s="19">
        <f>G123+J123+M123+P123</f>
        <v>0</v>
      </c>
      <c r="S123" s="73"/>
    </row>
    <row r="124" spans="1:19" x14ac:dyDescent="0.25">
      <c r="A124" s="30" t="s">
        <v>542</v>
      </c>
      <c r="B124" s="16"/>
      <c r="C124" s="107" t="s">
        <v>543</v>
      </c>
      <c r="D124" s="112" t="s">
        <v>544</v>
      </c>
      <c r="E124" s="57"/>
      <c r="F124" s="17">
        <f>20*30</f>
        <v>600</v>
      </c>
      <c r="G124" s="27">
        <f t="shared" si="62"/>
        <v>0</v>
      </c>
      <c r="H124" s="179">
        <v>0</v>
      </c>
      <c r="I124" s="180">
        <v>600</v>
      </c>
      <c r="J124" s="180">
        <f t="shared" si="63"/>
        <v>0</v>
      </c>
      <c r="K124" s="57">
        <v>0</v>
      </c>
      <c r="L124" s="17">
        <f t="shared" si="64"/>
        <v>618</v>
      </c>
      <c r="M124" s="27">
        <f t="shared" si="65"/>
        <v>0</v>
      </c>
      <c r="N124" s="57">
        <v>0</v>
      </c>
      <c r="O124" s="17">
        <f t="shared" si="66"/>
        <v>636.54</v>
      </c>
      <c r="P124" s="27">
        <f t="shared" si="67"/>
        <v>0</v>
      </c>
      <c r="Q124" s="53">
        <f t="shared" si="68"/>
        <v>0</v>
      </c>
      <c r="R124" s="19">
        <f>G124+J124+M124+P124</f>
        <v>0</v>
      </c>
      <c r="S124" s="73"/>
    </row>
    <row r="125" spans="1:19" x14ac:dyDescent="0.25">
      <c r="A125" s="161" t="s">
        <v>545</v>
      </c>
      <c r="B125" s="16"/>
      <c r="C125" s="10"/>
      <c r="D125" s="112"/>
      <c r="E125" s="57"/>
      <c r="F125" s="17"/>
      <c r="G125" s="27"/>
      <c r="H125" s="56"/>
      <c r="I125" s="17"/>
      <c r="J125" s="17"/>
      <c r="K125" s="57"/>
      <c r="L125" s="17"/>
      <c r="M125" s="27"/>
      <c r="N125" s="57"/>
      <c r="O125" s="17"/>
      <c r="P125" s="27"/>
      <c r="Q125" s="53"/>
      <c r="R125" s="32"/>
      <c r="S125" s="73"/>
    </row>
    <row r="126" spans="1:19" x14ac:dyDescent="0.25">
      <c r="A126" s="30" t="s">
        <v>546</v>
      </c>
      <c r="B126" s="16"/>
      <c r="C126" s="107" t="s">
        <v>547</v>
      </c>
      <c r="D126" s="112" t="s">
        <v>548</v>
      </c>
      <c r="E126" s="57"/>
      <c r="F126" s="17">
        <v>750</v>
      </c>
      <c r="G126" s="27">
        <f t="shared" ref="G126:G127" si="69">ROUND((+E126*F126),0)</f>
        <v>0</v>
      </c>
      <c r="H126" s="179">
        <v>0</v>
      </c>
      <c r="I126" s="180">
        <v>750</v>
      </c>
      <c r="J126" s="180">
        <f t="shared" ref="J126:J127" si="70">ROUND((+H126*I126),0)</f>
        <v>0</v>
      </c>
      <c r="K126" s="57"/>
      <c r="L126" s="17">
        <f t="shared" ref="L126:L127" si="71">I126*(1+$B$9)</f>
        <v>772.5</v>
      </c>
      <c r="M126" s="27">
        <f t="shared" ref="M126:M127" si="72">ROUND((+K126*L126),0)</f>
        <v>0</v>
      </c>
      <c r="N126" s="57">
        <v>0</v>
      </c>
      <c r="O126" s="17">
        <f t="shared" ref="O126:O127" si="73">L126*(1+$B$9)</f>
        <v>795.67500000000007</v>
      </c>
      <c r="P126" s="27">
        <f t="shared" ref="P126:P127" si="74">ROUND((+N126*O126),0)</f>
        <v>0</v>
      </c>
      <c r="Q126" s="53">
        <f t="shared" ref="Q126:Q127" si="75">E126+H126+K126+N126</f>
        <v>0</v>
      </c>
      <c r="R126" s="19">
        <f>G126+J126+M126+P126</f>
        <v>0</v>
      </c>
      <c r="S126" s="73"/>
    </row>
    <row r="127" spans="1:19" x14ac:dyDescent="0.25">
      <c r="A127" s="30" t="s">
        <v>549</v>
      </c>
      <c r="B127" s="16"/>
      <c r="C127" s="107" t="s">
        <v>550</v>
      </c>
      <c r="D127" s="112" t="s">
        <v>551</v>
      </c>
      <c r="E127" s="57"/>
      <c r="F127" s="17">
        <v>3000</v>
      </c>
      <c r="G127" s="27">
        <f t="shared" si="69"/>
        <v>0</v>
      </c>
      <c r="H127" s="179">
        <v>0</v>
      </c>
      <c r="I127" s="180">
        <v>3000</v>
      </c>
      <c r="J127" s="180">
        <f t="shared" si="70"/>
        <v>0</v>
      </c>
      <c r="K127" s="57"/>
      <c r="L127" s="17">
        <f t="shared" si="71"/>
        <v>3090</v>
      </c>
      <c r="M127" s="27">
        <f t="shared" si="72"/>
        <v>0</v>
      </c>
      <c r="N127" s="57">
        <v>0</v>
      </c>
      <c r="O127" s="17">
        <f t="shared" si="73"/>
        <v>3182.7000000000003</v>
      </c>
      <c r="P127" s="27">
        <f t="shared" si="74"/>
        <v>0</v>
      </c>
      <c r="Q127" s="53">
        <f t="shared" si="75"/>
        <v>0</v>
      </c>
      <c r="R127" s="19">
        <f>G127+J127+M127+P127</f>
        <v>0</v>
      </c>
      <c r="S127" s="73"/>
    </row>
    <row r="128" spans="1:19" ht="13.5" customHeight="1" x14ac:dyDescent="0.25">
      <c r="A128" s="161" t="s">
        <v>552</v>
      </c>
      <c r="B128" s="16"/>
      <c r="C128" s="10"/>
      <c r="D128" s="112"/>
      <c r="E128" s="57"/>
      <c r="F128" s="17"/>
      <c r="G128" s="27"/>
      <c r="H128" s="56"/>
      <c r="I128" s="17"/>
      <c r="J128" s="17">
        <f>ROUND((+H128*I128),0)</f>
        <v>0</v>
      </c>
      <c r="K128" s="57"/>
      <c r="L128" s="17">
        <f>I128*(1+$B$9)</f>
        <v>0</v>
      </c>
      <c r="M128" s="27">
        <f>ROUND((+K128*L128),0)</f>
        <v>0</v>
      </c>
      <c r="N128" s="57"/>
      <c r="O128" s="17">
        <f>L128*(1+$B$9)</f>
        <v>0</v>
      </c>
      <c r="P128" s="27"/>
      <c r="Q128" s="53"/>
      <c r="R128" s="32"/>
      <c r="S128" s="73"/>
    </row>
    <row r="129" spans="1:19" x14ac:dyDescent="0.25">
      <c r="A129" s="30" t="s">
        <v>553</v>
      </c>
      <c r="B129" s="16"/>
      <c r="C129" s="10" t="s">
        <v>554</v>
      </c>
      <c r="D129" s="112"/>
      <c r="E129" s="57"/>
      <c r="F129" s="17">
        <v>10000</v>
      </c>
      <c r="G129" s="27">
        <f t="shared" ref="G129:G130" si="76">ROUND((+E129*F129),0)</f>
        <v>0</v>
      </c>
      <c r="H129" s="54"/>
      <c r="I129" s="17">
        <f t="shared" ref="I129:I130" si="77">F129</f>
        <v>10000</v>
      </c>
      <c r="J129" s="17">
        <f t="shared" ref="J129:J130" si="78">ROUND((+H129*I129),0)</f>
        <v>0</v>
      </c>
      <c r="K129" s="90"/>
      <c r="L129" s="17">
        <f t="shared" ref="L129:L130" si="79">I129*(1+$B$9)</f>
        <v>10300</v>
      </c>
      <c r="M129" s="27">
        <f t="shared" ref="M129:M130" si="80">ROUND((+K129*L129),0)</f>
        <v>0</v>
      </c>
      <c r="N129" s="90">
        <v>1</v>
      </c>
      <c r="O129" s="17">
        <f t="shared" ref="O129:O130" si="81">L129*(1+$B$9)</f>
        <v>10609</v>
      </c>
      <c r="P129" s="27">
        <f t="shared" ref="P129:P130" si="82">ROUND((+N129*O129),0)</f>
        <v>10609</v>
      </c>
      <c r="Q129" s="53">
        <f t="shared" ref="Q129:Q130" si="83">E129+H129+K129+N129</f>
        <v>1</v>
      </c>
      <c r="R129" s="19">
        <f>G129+J129+M129+P129</f>
        <v>10609</v>
      </c>
      <c r="S129" s="73"/>
    </row>
    <row r="130" spans="1:19" x14ac:dyDescent="0.25">
      <c r="A130" s="30" t="s">
        <v>555</v>
      </c>
      <c r="B130" s="10"/>
      <c r="C130" s="10" t="s">
        <v>556</v>
      </c>
      <c r="D130" s="112"/>
      <c r="E130" s="90"/>
      <c r="F130" s="17">
        <v>2000</v>
      </c>
      <c r="G130" s="27">
        <f t="shared" si="76"/>
        <v>0</v>
      </c>
      <c r="H130" s="54"/>
      <c r="I130" s="17">
        <f t="shared" si="77"/>
        <v>2000</v>
      </c>
      <c r="J130" s="17">
        <f t="shared" si="78"/>
        <v>0</v>
      </c>
      <c r="K130" s="90"/>
      <c r="L130" s="17">
        <f t="shared" si="79"/>
        <v>2060</v>
      </c>
      <c r="M130" s="27">
        <f t="shared" si="80"/>
        <v>0</v>
      </c>
      <c r="N130" s="90">
        <v>1</v>
      </c>
      <c r="O130" s="17">
        <f t="shared" si="81"/>
        <v>2121.8000000000002</v>
      </c>
      <c r="P130" s="27">
        <f t="shared" si="82"/>
        <v>2122</v>
      </c>
      <c r="Q130" s="53">
        <f t="shared" si="83"/>
        <v>1</v>
      </c>
      <c r="R130" s="19">
        <f>G130+J130+M130+P130</f>
        <v>2122</v>
      </c>
      <c r="S130" s="73"/>
    </row>
    <row r="131" spans="1:19" x14ac:dyDescent="0.25">
      <c r="A131" s="30"/>
      <c r="B131" s="10"/>
      <c r="C131" s="10"/>
      <c r="D131" s="112"/>
      <c r="E131" s="90"/>
      <c r="F131" s="17"/>
      <c r="G131" s="27"/>
      <c r="H131" s="54"/>
      <c r="I131" s="17"/>
      <c r="J131" s="17"/>
      <c r="K131" s="90"/>
      <c r="L131" s="17"/>
      <c r="M131" s="27"/>
      <c r="N131" s="90"/>
      <c r="O131" s="17"/>
      <c r="P131" s="27"/>
      <c r="Q131" s="53"/>
      <c r="R131" s="32"/>
      <c r="S131" s="73"/>
    </row>
    <row r="132" spans="1:19" x14ac:dyDescent="0.25">
      <c r="A132" s="173" t="s">
        <v>557</v>
      </c>
      <c r="B132" s="16"/>
      <c r="C132" s="10"/>
      <c r="D132" s="112"/>
      <c r="E132" s="57"/>
      <c r="F132" s="17"/>
      <c r="G132" s="27"/>
      <c r="H132" s="56"/>
      <c r="I132" s="17"/>
      <c r="J132" s="17"/>
      <c r="K132" s="57"/>
      <c r="L132" s="17"/>
      <c r="M132" s="27"/>
      <c r="N132" s="57"/>
      <c r="O132" s="17"/>
      <c r="P132" s="27"/>
      <c r="Q132" s="53"/>
      <c r="R132" s="19"/>
      <c r="S132" s="73"/>
    </row>
    <row r="133" spans="1:19" x14ac:dyDescent="0.25">
      <c r="A133" s="161" t="s">
        <v>558</v>
      </c>
      <c r="B133" s="16"/>
      <c r="C133" s="10"/>
      <c r="D133" s="112"/>
      <c r="E133" s="57"/>
      <c r="F133" s="17"/>
      <c r="G133" s="27"/>
      <c r="H133" s="56"/>
      <c r="I133" s="17"/>
      <c r="J133" s="17"/>
      <c r="K133" s="57"/>
      <c r="L133" s="17"/>
      <c r="M133" s="27"/>
      <c r="N133" s="57"/>
      <c r="O133" s="17"/>
      <c r="P133" s="27"/>
      <c r="Q133" s="53"/>
      <c r="R133" s="19"/>
      <c r="S133" s="73"/>
    </row>
    <row r="134" spans="1:19" x14ac:dyDescent="0.25">
      <c r="A134" s="170" t="s">
        <v>559</v>
      </c>
      <c r="B134" s="108"/>
      <c r="C134" s="107" t="s">
        <v>560</v>
      </c>
      <c r="D134" s="114" t="s">
        <v>561</v>
      </c>
      <c r="E134" s="181">
        <f>5*$B$10</f>
        <v>10</v>
      </c>
      <c r="F134" s="17">
        <v>175</v>
      </c>
      <c r="G134" s="27">
        <f t="shared" ref="G134:G136" si="84">ROUND((+E134*F134),0)</f>
        <v>1750</v>
      </c>
      <c r="H134" s="181">
        <f>5*$B$10</f>
        <v>10</v>
      </c>
      <c r="I134" s="17">
        <f t="shared" ref="I134:I136" si="85">F134</f>
        <v>175</v>
      </c>
      <c r="J134" s="17">
        <f t="shared" ref="J134:J136" si="86">ROUND((+H134*I134),0)</f>
        <v>1750</v>
      </c>
      <c r="K134" s="181">
        <f>5*$B$10</f>
        <v>10</v>
      </c>
      <c r="L134" s="17">
        <f t="shared" ref="L134:L136" si="87">I134*(1+$B$9)</f>
        <v>180.25</v>
      </c>
      <c r="M134" s="27">
        <f t="shared" ref="M134:M136" si="88">ROUND((+K134*L134),0)</f>
        <v>1803</v>
      </c>
      <c r="N134" s="181">
        <f>5*$B$10</f>
        <v>10</v>
      </c>
      <c r="O134" s="17">
        <f t="shared" ref="O134:O136" si="89">L134*(1+$B$9)</f>
        <v>185.6575</v>
      </c>
      <c r="P134" s="27">
        <f t="shared" ref="P134:P136" si="90">ROUND((+N134*O134),0)</f>
        <v>1857</v>
      </c>
      <c r="Q134" s="53">
        <f t="shared" ref="Q134:Q136" si="91">E134+H134+K134+N134</f>
        <v>40</v>
      </c>
      <c r="R134" s="19">
        <f>G134+J134+M134+P134</f>
        <v>7160</v>
      </c>
      <c r="S134" s="73"/>
    </row>
    <row r="135" spans="1:19" x14ac:dyDescent="0.25">
      <c r="A135" s="170" t="s">
        <v>562</v>
      </c>
      <c r="B135" s="108"/>
      <c r="C135" s="107" t="s">
        <v>563</v>
      </c>
      <c r="D135" s="114" t="s">
        <v>564</v>
      </c>
      <c r="E135" s="181">
        <f>15*$B$10</f>
        <v>30</v>
      </c>
      <c r="F135" s="17">
        <v>125</v>
      </c>
      <c r="G135" s="27">
        <f t="shared" si="84"/>
        <v>3750</v>
      </c>
      <c r="H135" s="181">
        <f>15*$B$10</f>
        <v>30</v>
      </c>
      <c r="I135" s="17">
        <f t="shared" si="85"/>
        <v>125</v>
      </c>
      <c r="J135" s="17">
        <f t="shared" si="86"/>
        <v>3750</v>
      </c>
      <c r="K135" s="181">
        <f>15*$B$10</f>
        <v>30</v>
      </c>
      <c r="L135" s="17">
        <f t="shared" si="87"/>
        <v>128.75</v>
      </c>
      <c r="M135" s="27">
        <f t="shared" si="88"/>
        <v>3863</v>
      </c>
      <c r="N135" s="181">
        <f>15*$B$10</f>
        <v>30</v>
      </c>
      <c r="O135" s="17">
        <f t="shared" si="89"/>
        <v>132.61250000000001</v>
      </c>
      <c r="P135" s="27">
        <f t="shared" si="90"/>
        <v>3978</v>
      </c>
      <c r="Q135" s="53">
        <f t="shared" si="91"/>
        <v>120</v>
      </c>
      <c r="R135" s="19">
        <f>G135+J135+M135+P135</f>
        <v>15341</v>
      </c>
      <c r="S135" s="73"/>
    </row>
    <row r="136" spans="1:19" x14ac:dyDescent="0.25">
      <c r="A136" s="170" t="s">
        <v>565</v>
      </c>
      <c r="B136" s="108"/>
      <c r="C136" s="107" t="s">
        <v>566</v>
      </c>
      <c r="D136" s="114" t="s">
        <v>567</v>
      </c>
      <c r="E136" s="181">
        <f>5*$B$10</f>
        <v>10</v>
      </c>
      <c r="F136" s="17">
        <v>0</v>
      </c>
      <c r="G136" s="27">
        <f t="shared" si="84"/>
        <v>0</v>
      </c>
      <c r="H136" s="181">
        <f>5*$B$10</f>
        <v>10</v>
      </c>
      <c r="I136" s="17">
        <f t="shared" si="85"/>
        <v>0</v>
      </c>
      <c r="J136" s="17">
        <f t="shared" si="86"/>
        <v>0</v>
      </c>
      <c r="K136" s="181">
        <f>5*$B$10</f>
        <v>10</v>
      </c>
      <c r="L136" s="17">
        <f t="shared" si="87"/>
        <v>0</v>
      </c>
      <c r="M136" s="27">
        <f t="shared" si="88"/>
        <v>0</v>
      </c>
      <c r="N136" s="181">
        <f>5*$B$10</f>
        <v>10</v>
      </c>
      <c r="O136" s="17">
        <f t="shared" si="89"/>
        <v>0</v>
      </c>
      <c r="P136" s="27">
        <f t="shared" si="90"/>
        <v>0</v>
      </c>
      <c r="Q136" s="53">
        <f t="shared" si="91"/>
        <v>40</v>
      </c>
      <c r="R136" s="19">
        <f>G136+J136+M136+P136</f>
        <v>0</v>
      </c>
      <c r="S136" s="73"/>
    </row>
    <row r="137" spans="1:19" x14ac:dyDescent="0.25">
      <c r="A137" s="161" t="s">
        <v>568</v>
      </c>
      <c r="B137" s="108"/>
      <c r="C137" s="107"/>
      <c r="D137" s="114"/>
      <c r="E137" s="57"/>
      <c r="F137" s="17"/>
      <c r="G137" s="27"/>
      <c r="H137" s="57"/>
      <c r="I137" s="17"/>
      <c r="J137" s="17"/>
      <c r="K137" s="57"/>
      <c r="L137" s="17"/>
      <c r="M137" s="27"/>
      <c r="N137" s="57"/>
      <c r="O137" s="17"/>
      <c r="P137" s="27"/>
      <c r="Q137" s="53"/>
      <c r="R137" s="32"/>
      <c r="S137" s="73"/>
    </row>
    <row r="138" spans="1:19" x14ac:dyDescent="0.25">
      <c r="A138" s="176" t="s">
        <v>569</v>
      </c>
      <c r="B138" s="108"/>
      <c r="C138" s="107" t="s">
        <v>570</v>
      </c>
      <c r="D138" s="114" t="s">
        <v>571</v>
      </c>
      <c r="E138" s="57">
        <v>5</v>
      </c>
      <c r="F138" s="17">
        <v>200</v>
      </c>
      <c r="G138" s="27">
        <f t="shared" ref="G138:G141" si="92">ROUND((+E138*F138),0)</f>
        <v>1000</v>
      </c>
      <c r="H138" s="57">
        <v>5</v>
      </c>
      <c r="I138" s="17">
        <f t="shared" ref="I138:I141" si="93">F138</f>
        <v>200</v>
      </c>
      <c r="J138" s="17">
        <f t="shared" ref="J138:J141" si="94">ROUND((+H138*I138),0)</f>
        <v>1000</v>
      </c>
      <c r="K138" s="57">
        <v>5</v>
      </c>
      <c r="L138" s="17">
        <f t="shared" ref="L138:L141" si="95">I138*(1+$B$9)</f>
        <v>206</v>
      </c>
      <c r="M138" s="27">
        <f t="shared" ref="M138:M141" si="96">ROUND((+K138*L138),0)</f>
        <v>1030</v>
      </c>
      <c r="N138" s="57">
        <v>5</v>
      </c>
      <c r="O138" s="17">
        <f t="shared" ref="O138:O141" si="97">L138*(1+$B$9)</f>
        <v>212.18</v>
      </c>
      <c r="P138" s="27">
        <f t="shared" ref="P138:P141" si="98">ROUND((+N138*O138),0)</f>
        <v>1061</v>
      </c>
      <c r="Q138" s="53">
        <f t="shared" ref="Q138:Q141" si="99">E138+H138+K138+N138</f>
        <v>20</v>
      </c>
      <c r="R138" s="19">
        <f>G138+J138+M138+P138</f>
        <v>4091</v>
      </c>
      <c r="S138" s="73"/>
    </row>
    <row r="139" spans="1:19" x14ac:dyDescent="0.25">
      <c r="A139" s="170" t="s">
        <v>572</v>
      </c>
      <c r="B139" s="108"/>
      <c r="C139" s="107" t="s">
        <v>573</v>
      </c>
      <c r="D139" s="114" t="s">
        <v>574</v>
      </c>
      <c r="E139" s="181">
        <f>(5*$B$10)+1+2+($B$10)</f>
        <v>15</v>
      </c>
      <c r="F139" s="17">
        <v>60</v>
      </c>
      <c r="G139" s="27">
        <f t="shared" si="92"/>
        <v>900</v>
      </c>
      <c r="H139" s="181">
        <f>(5*$B$10)+1+2+($B$10)</f>
        <v>15</v>
      </c>
      <c r="I139" s="17">
        <f t="shared" si="93"/>
        <v>60</v>
      </c>
      <c r="J139" s="17">
        <f t="shared" si="94"/>
        <v>900</v>
      </c>
      <c r="K139" s="181">
        <f>(5*$B$10)+1+2+($B$10)</f>
        <v>15</v>
      </c>
      <c r="L139" s="17">
        <f t="shared" si="95"/>
        <v>61.800000000000004</v>
      </c>
      <c r="M139" s="27">
        <f t="shared" si="96"/>
        <v>927</v>
      </c>
      <c r="N139" s="181">
        <f>(5*$B$10)+1+2+($B$10)</f>
        <v>15</v>
      </c>
      <c r="O139" s="17">
        <f t="shared" si="97"/>
        <v>63.654000000000003</v>
      </c>
      <c r="P139" s="27">
        <f t="shared" si="98"/>
        <v>955</v>
      </c>
      <c r="Q139" s="53">
        <f t="shared" si="99"/>
        <v>60</v>
      </c>
      <c r="R139" s="19">
        <f>G139+J139+M139+P139</f>
        <v>3682</v>
      </c>
      <c r="S139" s="73"/>
    </row>
    <row r="140" spans="1:19" x14ac:dyDescent="0.25">
      <c r="A140" s="176" t="s">
        <v>575</v>
      </c>
      <c r="B140" s="108"/>
      <c r="C140" s="107" t="s">
        <v>576</v>
      </c>
      <c r="D140" s="114" t="s">
        <v>577</v>
      </c>
      <c r="E140" s="181">
        <f>((5*$B$10)*5)</f>
        <v>50</v>
      </c>
      <c r="F140" s="17">
        <v>150</v>
      </c>
      <c r="G140" s="27">
        <f t="shared" si="92"/>
        <v>7500</v>
      </c>
      <c r="H140" s="181">
        <f>((5*$B$10)*5)</f>
        <v>50</v>
      </c>
      <c r="I140" s="17">
        <f t="shared" si="93"/>
        <v>150</v>
      </c>
      <c r="J140" s="17">
        <f t="shared" si="94"/>
        <v>7500</v>
      </c>
      <c r="K140" s="181">
        <f>((5*$B$10)*5)</f>
        <v>50</v>
      </c>
      <c r="L140" s="17">
        <f t="shared" si="95"/>
        <v>154.5</v>
      </c>
      <c r="M140" s="27">
        <f t="shared" si="96"/>
        <v>7725</v>
      </c>
      <c r="N140" s="181">
        <f>((5*$B$10)*5)</f>
        <v>50</v>
      </c>
      <c r="O140" s="17">
        <f t="shared" si="97"/>
        <v>159.13499999999999</v>
      </c>
      <c r="P140" s="27">
        <f t="shared" si="98"/>
        <v>7957</v>
      </c>
      <c r="Q140" s="53">
        <f t="shared" si="99"/>
        <v>200</v>
      </c>
      <c r="R140" s="19">
        <f>G140+J140+M140+P140</f>
        <v>30682</v>
      </c>
      <c r="S140" s="73"/>
    </row>
    <row r="141" spans="1:19" x14ac:dyDescent="0.25">
      <c r="A141" s="170" t="s">
        <v>578</v>
      </c>
      <c r="B141" s="108"/>
      <c r="C141" s="107" t="s">
        <v>579</v>
      </c>
      <c r="D141" s="114" t="s">
        <v>580</v>
      </c>
      <c r="E141" s="181">
        <f>(5*$B$10)</f>
        <v>10</v>
      </c>
      <c r="F141" s="17">
        <v>50</v>
      </c>
      <c r="G141" s="27">
        <f t="shared" si="92"/>
        <v>500</v>
      </c>
      <c r="H141" s="181">
        <f>(5*$B$10)</f>
        <v>10</v>
      </c>
      <c r="I141" s="17">
        <f t="shared" si="93"/>
        <v>50</v>
      </c>
      <c r="J141" s="17">
        <f t="shared" si="94"/>
        <v>500</v>
      </c>
      <c r="K141" s="181">
        <f>(5*$B$10)</f>
        <v>10</v>
      </c>
      <c r="L141" s="17">
        <f t="shared" si="95"/>
        <v>51.5</v>
      </c>
      <c r="M141" s="27">
        <f t="shared" si="96"/>
        <v>515</v>
      </c>
      <c r="N141" s="181">
        <f>(5*$B$10)</f>
        <v>10</v>
      </c>
      <c r="O141" s="17">
        <f t="shared" si="97"/>
        <v>53.045000000000002</v>
      </c>
      <c r="P141" s="27">
        <f t="shared" si="98"/>
        <v>530</v>
      </c>
      <c r="Q141" s="53">
        <f t="shared" si="99"/>
        <v>40</v>
      </c>
      <c r="R141" s="19">
        <f>G141+J141+M141+P141</f>
        <v>2045</v>
      </c>
      <c r="S141" s="73"/>
    </row>
    <row r="142" spans="1:19" x14ac:dyDescent="0.25">
      <c r="A142" s="177"/>
      <c r="B142" s="108"/>
      <c r="C142" s="107"/>
      <c r="D142" s="114"/>
      <c r="E142" s="57"/>
      <c r="F142" s="17"/>
      <c r="G142" s="27"/>
      <c r="H142" s="56"/>
      <c r="I142" s="17"/>
      <c r="J142" s="17"/>
      <c r="K142" s="57"/>
      <c r="L142" s="17"/>
      <c r="M142" s="27"/>
      <c r="N142" s="57"/>
      <c r="O142" s="17"/>
      <c r="P142" s="27"/>
      <c r="Q142" s="53"/>
      <c r="R142" s="32"/>
      <c r="S142" s="73"/>
    </row>
    <row r="143" spans="1:19" x14ac:dyDescent="0.25">
      <c r="A143" s="173" t="s">
        <v>581</v>
      </c>
      <c r="B143" s="108"/>
      <c r="C143" s="107"/>
      <c r="D143" s="114"/>
      <c r="E143" s="57"/>
      <c r="F143" s="17"/>
      <c r="G143" s="27"/>
      <c r="H143" s="56"/>
      <c r="I143" s="17"/>
      <c r="J143" s="17"/>
      <c r="K143" s="57"/>
      <c r="L143" s="17"/>
      <c r="M143" s="27"/>
      <c r="N143" s="57"/>
      <c r="O143" s="17"/>
      <c r="P143" s="27"/>
      <c r="Q143" s="53"/>
      <c r="R143" s="19"/>
      <c r="S143" s="73"/>
    </row>
    <row r="144" spans="1:19" x14ac:dyDescent="0.25">
      <c r="A144" s="161" t="s">
        <v>582</v>
      </c>
      <c r="B144" s="16"/>
      <c r="C144" s="10"/>
      <c r="D144" s="112"/>
      <c r="E144" s="57"/>
      <c r="F144" s="17"/>
      <c r="G144" s="27"/>
      <c r="H144" s="56"/>
      <c r="I144" s="17"/>
      <c r="J144" s="17"/>
      <c r="K144" s="57"/>
      <c r="L144" s="17"/>
      <c r="M144" s="27"/>
      <c r="N144" s="57"/>
      <c r="O144" s="17"/>
      <c r="P144" s="27"/>
      <c r="Q144" s="53"/>
      <c r="R144" s="19"/>
      <c r="S144" s="73"/>
    </row>
    <row r="145" spans="1:59" x14ac:dyDescent="0.25">
      <c r="A145" s="170" t="s">
        <v>583</v>
      </c>
      <c r="B145" s="108"/>
      <c r="C145" s="107" t="s">
        <v>584</v>
      </c>
      <c r="D145" s="114" t="s">
        <v>585</v>
      </c>
      <c r="E145" s="181">
        <f>(15*1)*$B$10</f>
        <v>30</v>
      </c>
      <c r="F145" s="17">
        <v>175</v>
      </c>
      <c r="G145" s="27">
        <f t="shared" ref="G145:G151" si="100">ROUND((+E145*F145),0)</f>
        <v>5250</v>
      </c>
      <c r="H145" s="181">
        <f>(15*1)*$B$10</f>
        <v>30</v>
      </c>
      <c r="I145" s="17">
        <f t="shared" ref="I145:I151" si="101">F145</f>
        <v>175</v>
      </c>
      <c r="J145" s="17">
        <f t="shared" ref="J145:J151" si="102">ROUND((+H145*I145),0)</f>
        <v>5250</v>
      </c>
      <c r="K145" s="181">
        <f>(15*1)*$B$10</f>
        <v>30</v>
      </c>
      <c r="L145" s="17">
        <f t="shared" ref="L145:L151" si="103">I145*(1+$B$9)</f>
        <v>180.25</v>
      </c>
      <c r="M145" s="27">
        <f t="shared" ref="M145:M151" si="104">ROUND((+K145*L145),0)</f>
        <v>5408</v>
      </c>
      <c r="N145" s="181">
        <f>(15*1)*$B$10</f>
        <v>30</v>
      </c>
      <c r="O145" s="17">
        <f t="shared" ref="O145:O151" si="105">L145*(1+$B$9)</f>
        <v>185.6575</v>
      </c>
      <c r="P145" s="27">
        <f t="shared" ref="P145:P151" si="106">ROUND((+N145*O145),0)</f>
        <v>5570</v>
      </c>
      <c r="Q145" s="53">
        <f t="shared" ref="Q145:Q151" si="107">E145+H145+K145+N145</f>
        <v>120</v>
      </c>
      <c r="R145" s="19">
        <f t="shared" ref="R145:R151" si="108">G145+J145+M145+P145</f>
        <v>21478</v>
      </c>
      <c r="S145" s="73"/>
    </row>
    <row r="146" spans="1:59" x14ac:dyDescent="0.25">
      <c r="A146" s="170" t="s">
        <v>586</v>
      </c>
      <c r="B146" s="108"/>
      <c r="C146" s="107" t="s">
        <v>587</v>
      </c>
      <c r="D146" s="114" t="s">
        <v>588</v>
      </c>
      <c r="E146" s="181">
        <f>(15*3)*$B$10</f>
        <v>90</v>
      </c>
      <c r="F146" s="17">
        <v>125</v>
      </c>
      <c r="G146" s="27">
        <f t="shared" si="100"/>
        <v>11250</v>
      </c>
      <c r="H146" s="181">
        <f>(15*3)*$B$10</f>
        <v>90</v>
      </c>
      <c r="I146" s="17">
        <f t="shared" si="101"/>
        <v>125</v>
      </c>
      <c r="J146" s="17">
        <f t="shared" si="102"/>
        <v>11250</v>
      </c>
      <c r="K146" s="181">
        <f>(15*3)*$B$10</f>
        <v>90</v>
      </c>
      <c r="L146" s="17">
        <f t="shared" si="103"/>
        <v>128.75</v>
      </c>
      <c r="M146" s="27">
        <f t="shared" si="104"/>
        <v>11588</v>
      </c>
      <c r="N146" s="181">
        <f>(15*3)*$B$10</f>
        <v>90</v>
      </c>
      <c r="O146" s="17">
        <f t="shared" si="105"/>
        <v>132.61250000000001</v>
      </c>
      <c r="P146" s="27">
        <f t="shared" si="106"/>
        <v>11935</v>
      </c>
      <c r="Q146" s="53">
        <f t="shared" si="107"/>
        <v>360</v>
      </c>
      <c r="R146" s="19">
        <f t="shared" si="108"/>
        <v>46023</v>
      </c>
      <c r="S146" s="73"/>
    </row>
    <row r="147" spans="1:59" x14ac:dyDescent="0.25">
      <c r="A147" s="170" t="s">
        <v>589</v>
      </c>
      <c r="B147" s="108"/>
      <c r="C147" s="107" t="s">
        <v>590</v>
      </c>
      <c r="D147" s="114" t="s">
        <v>591</v>
      </c>
      <c r="E147" s="181">
        <f>(15)*$B$10</f>
        <v>30</v>
      </c>
      <c r="F147" s="17">
        <v>0</v>
      </c>
      <c r="G147" s="27">
        <f t="shared" si="100"/>
        <v>0</v>
      </c>
      <c r="H147" s="181">
        <f>(15*2)*$B$10</f>
        <v>60</v>
      </c>
      <c r="I147" s="17">
        <f t="shared" si="101"/>
        <v>0</v>
      </c>
      <c r="J147" s="17">
        <f t="shared" si="102"/>
        <v>0</v>
      </c>
      <c r="K147" s="181">
        <f>(15*2)*$B$10</f>
        <v>60</v>
      </c>
      <c r="L147" s="17">
        <f t="shared" si="103"/>
        <v>0</v>
      </c>
      <c r="M147" s="27">
        <f t="shared" si="104"/>
        <v>0</v>
      </c>
      <c r="N147" s="181">
        <f>(15*2)*$B$10</f>
        <v>60</v>
      </c>
      <c r="O147" s="17">
        <f t="shared" si="105"/>
        <v>0</v>
      </c>
      <c r="P147" s="27">
        <f t="shared" si="106"/>
        <v>0</v>
      </c>
      <c r="Q147" s="53">
        <f t="shared" si="107"/>
        <v>210</v>
      </c>
      <c r="R147" s="19">
        <f t="shared" si="108"/>
        <v>0</v>
      </c>
      <c r="S147" s="73"/>
    </row>
    <row r="148" spans="1:59" x14ac:dyDescent="0.25">
      <c r="A148" s="161" t="s">
        <v>592</v>
      </c>
      <c r="B148" s="108"/>
      <c r="C148" s="107"/>
      <c r="D148" s="114"/>
      <c r="E148" s="57"/>
      <c r="F148" s="17"/>
      <c r="G148" s="27"/>
      <c r="H148" s="56"/>
      <c r="I148" s="17"/>
      <c r="J148" s="17"/>
      <c r="K148" s="57"/>
      <c r="L148" s="17"/>
      <c r="M148" s="27"/>
      <c r="N148" s="57"/>
      <c r="O148" s="17"/>
      <c r="P148" s="27"/>
      <c r="Q148" s="53"/>
      <c r="R148" s="32"/>
      <c r="S148" s="73"/>
    </row>
    <row r="149" spans="1:59" x14ac:dyDescent="0.25">
      <c r="A149" s="176" t="s">
        <v>593</v>
      </c>
      <c r="B149" s="108"/>
      <c r="C149" s="107" t="s">
        <v>594</v>
      </c>
      <c r="D149" s="114" t="s">
        <v>595</v>
      </c>
      <c r="E149" s="181">
        <f>(15*5)*$B$10</f>
        <v>150</v>
      </c>
      <c r="F149" s="17">
        <v>150</v>
      </c>
      <c r="G149" s="27">
        <f t="shared" ref="G149" si="109">ROUND((+E149*F149),0)</f>
        <v>22500</v>
      </c>
      <c r="H149" s="181">
        <f>$B$10*5*15</f>
        <v>150</v>
      </c>
      <c r="I149" s="17">
        <f>F149</f>
        <v>150</v>
      </c>
      <c r="J149" s="17">
        <f t="shared" ref="J149" si="110">ROUND((+H149*I149),0)</f>
        <v>22500</v>
      </c>
      <c r="K149" s="181">
        <f>$B$10*5*15</f>
        <v>150</v>
      </c>
      <c r="L149" s="17">
        <f t="shared" ref="L149" si="111">I149*(1+$B$9)</f>
        <v>154.5</v>
      </c>
      <c r="M149" s="27">
        <f t="shared" ref="M149" si="112">ROUND((+K149*L149),0)</f>
        <v>23175</v>
      </c>
      <c r="N149" s="181">
        <f>$B$10*5*15</f>
        <v>150</v>
      </c>
      <c r="O149" s="17">
        <f t="shared" ref="O149" si="113">L149*(1+$B$9)</f>
        <v>159.13499999999999</v>
      </c>
      <c r="P149" s="27">
        <f t="shared" ref="P149" si="114">ROUND((+N149*O149),0)</f>
        <v>23870</v>
      </c>
      <c r="Q149" s="53">
        <f t="shared" ref="Q149" si="115">E149+H149+K149+N149</f>
        <v>600</v>
      </c>
      <c r="R149" s="19">
        <f>G149+J149+M149+P149</f>
        <v>92045</v>
      </c>
      <c r="S149" s="73"/>
    </row>
    <row r="150" spans="1:59" x14ac:dyDescent="0.25">
      <c r="A150" s="170" t="s">
        <v>596</v>
      </c>
      <c r="B150" s="108"/>
      <c r="C150" s="107" t="s">
        <v>597</v>
      </c>
      <c r="D150" s="114" t="s">
        <v>598</v>
      </c>
      <c r="E150" s="181">
        <f>15*$B$10</f>
        <v>30</v>
      </c>
      <c r="F150" s="17">
        <v>200</v>
      </c>
      <c r="G150" s="27">
        <f t="shared" si="100"/>
        <v>6000</v>
      </c>
      <c r="H150" s="179">
        <f>15*$B$10</f>
        <v>30</v>
      </c>
      <c r="I150" s="17">
        <f t="shared" si="101"/>
        <v>200</v>
      </c>
      <c r="J150" s="17">
        <f t="shared" si="102"/>
        <v>6000</v>
      </c>
      <c r="K150" s="179">
        <f>15*$B$10</f>
        <v>30</v>
      </c>
      <c r="L150" s="17">
        <f t="shared" si="103"/>
        <v>206</v>
      </c>
      <c r="M150" s="27">
        <f t="shared" si="104"/>
        <v>6180</v>
      </c>
      <c r="N150" s="179">
        <f>15*$B$10</f>
        <v>30</v>
      </c>
      <c r="O150" s="17">
        <f t="shared" si="105"/>
        <v>212.18</v>
      </c>
      <c r="P150" s="27">
        <f t="shared" si="106"/>
        <v>6365</v>
      </c>
      <c r="Q150" s="53">
        <f t="shared" si="107"/>
        <v>120</v>
      </c>
      <c r="R150" s="19">
        <f t="shared" si="108"/>
        <v>24545</v>
      </c>
      <c r="S150" s="73"/>
    </row>
    <row r="151" spans="1:59" x14ac:dyDescent="0.25">
      <c r="A151" s="30" t="s">
        <v>599</v>
      </c>
      <c r="B151" s="16"/>
      <c r="C151" s="10"/>
      <c r="D151" s="112" t="s">
        <v>600</v>
      </c>
      <c r="E151" s="181">
        <v>1</v>
      </c>
      <c r="F151" s="17">
        <v>2000</v>
      </c>
      <c r="G151" s="27">
        <f t="shared" si="100"/>
        <v>2000</v>
      </c>
      <c r="H151" s="179">
        <v>1</v>
      </c>
      <c r="I151" s="17">
        <f t="shared" si="101"/>
        <v>2000</v>
      </c>
      <c r="J151" s="17">
        <f t="shared" si="102"/>
        <v>2000</v>
      </c>
      <c r="K151" s="179">
        <v>1</v>
      </c>
      <c r="L151" s="17">
        <f t="shared" si="103"/>
        <v>2060</v>
      </c>
      <c r="M151" s="27">
        <f t="shared" si="104"/>
        <v>2060</v>
      </c>
      <c r="N151" s="179">
        <v>1</v>
      </c>
      <c r="O151" s="17">
        <f t="shared" si="105"/>
        <v>2121.8000000000002</v>
      </c>
      <c r="P151" s="27">
        <f t="shared" si="106"/>
        <v>2122</v>
      </c>
      <c r="Q151" s="53">
        <f t="shared" si="107"/>
        <v>4</v>
      </c>
      <c r="R151" s="19">
        <f t="shared" si="108"/>
        <v>8182</v>
      </c>
      <c r="S151" s="73"/>
    </row>
    <row r="152" spans="1:59" x14ac:dyDescent="0.25">
      <c r="A152" s="38"/>
      <c r="B152" s="18"/>
      <c r="C152" s="18"/>
      <c r="D152" s="115"/>
      <c r="E152" s="83"/>
      <c r="F152" s="19"/>
      <c r="G152" s="103"/>
      <c r="H152" s="58"/>
      <c r="I152" s="19"/>
      <c r="J152" s="31"/>
      <c r="K152" s="83"/>
      <c r="L152" s="19"/>
      <c r="M152" s="103"/>
      <c r="N152" s="83"/>
      <c r="O152" s="19"/>
      <c r="P152" s="103"/>
      <c r="Q152" s="53"/>
      <c r="R152" s="19" t="s">
        <v>601</v>
      </c>
      <c r="S152" s="73"/>
    </row>
    <row r="153" spans="1:59" s="39" customFormat="1" x14ac:dyDescent="0.25">
      <c r="A153" s="178" t="s">
        <v>602</v>
      </c>
      <c r="B153" s="33"/>
      <c r="C153" s="33"/>
      <c r="D153" s="117"/>
      <c r="E153" s="86"/>
      <c r="F153" s="32"/>
      <c r="G153" s="49">
        <f>SUM(G119:G152)</f>
        <v>62900</v>
      </c>
      <c r="H153" s="60"/>
      <c r="I153" s="32"/>
      <c r="J153" s="32">
        <f>SUM(J119:J152)</f>
        <v>62400</v>
      </c>
      <c r="K153" s="86"/>
      <c r="L153" s="32"/>
      <c r="M153" s="49">
        <f>SUM(M119:M152)</f>
        <v>64274</v>
      </c>
      <c r="N153" s="86"/>
      <c r="O153" s="32"/>
      <c r="P153" s="49">
        <f>SUM(P119:P152)</f>
        <v>78931</v>
      </c>
      <c r="Q153" s="53"/>
      <c r="R153" s="19">
        <f>G153+J153+M153+P153</f>
        <v>268505</v>
      </c>
      <c r="S153" s="78">
        <f>SUM(R119:R151)</f>
        <v>268505</v>
      </c>
    </row>
    <row r="154" spans="1:59" x14ac:dyDescent="0.25">
      <c r="A154" s="38"/>
      <c r="B154" s="18"/>
      <c r="C154" s="18"/>
      <c r="D154" s="115"/>
      <c r="E154" s="89"/>
      <c r="F154" s="19"/>
      <c r="G154" s="96"/>
      <c r="H154" s="68"/>
      <c r="I154" s="19"/>
      <c r="J154" s="19"/>
      <c r="K154" s="89"/>
      <c r="L154" s="19"/>
      <c r="M154" s="96"/>
      <c r="N154" s="89"/>
      <c r="O154" s="19"/>
      <c r="P154" s="96"/>
      <c r="Q154" s="53"/>
      <c r="R154" s="19"/>
      <c r="S154" s="73"/>
    </row>
    <row r="155" spans="1:59" s="4" customFormat="1" ht="16.5" thickBot="1" x14ac:dyDescent="0.3">
      <c r="A155" s="48" t="s">
        <v>603</v>
      </c>
      <c r="B155" s="24"/>
      <c r="C155" s="24"/>
      <c r="D155" s="116"/>
      <c r="E155" s="93"/>
      <c r="F155" s="25"/>
      <c r="G155" s="46">
        <f>+G153</f>
        <v>62900</v>
      </c>
      <c r="H155" s="64"/>
      <c r="I155" s="25"/>
      <c r="J155" s="25">
        <f>+J153</f>
        <v>62400</v>
      </c>
      <c r="K155" s="93"/>
      <c r="L155" s="25"/>
      <c r="M155" s="46">
        <f>+M153</f>
        <v>64274</v>
      </c>
      <c r="N155" s="93"/>
      <c r="O155" s="25"/>
      <c r="P155" s="46">
        <f>+P153</f>
        <v>78931</v>
      </c>
      <c r="Q155" s="24"/>
      <c r="R155" s="25">
        <f>+R153</f>
        <v>268505</v>
      </c>
      <c r="S155" s="73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1:59" s="4" customFormat="1" ht="16.5" thickTop="1" x14ac:dyDescent="0.25">
      <c r="A156" s="38"/>
      <c r="B156" s="18"/>
      <c r="C156" s="18"/>
      <c r="D156" s="115"/>
      <c r="E156" s="89"/>
      <c r="F156" s="19"/>
      <c r="G156" s="96"/>
      <c r="H156" s="68"/>
      <c r="I156" s="19"/>
      <c r="J156" s="19"/>
      <c r="K156" s="89"/>
      <c r="L156" s="19"/>
      <c r="M156" s="96"/>
      <c r="N156" s="89"/>
      <c r="O156" s="19"/>
      <c r="P156" s="96"/>
      <c r="Q156" s="18"/>
      <c r="R156" s="19"/>
      <c r="S156" s="73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1:59" s="4" customFormat="1" x14ac:dyDescent="0.25">
      <c r="A157" s="38" t="s">
        <v>604</v>
      </c>
      <c r="B157" s="10"/>
      <c r="C157" s="10"/>
      <c r="D157" s="112"/>
      <c r="E157" s="57"/>
      <c r="F157" s="17"/>
      <c r="G157" s="96">
        <f>G36+G42+G78+G83+G89+G113+G155</f>
        <v>136005</v>
      </c>
      <c r="H157" s="58"/>
      <c r="I157" s="19"/>
      <c r="J157" s="19">
        <f>J36+J42+J78+J83+J89+J113+J155</f>
        <v>107325</v>
      </c>
      <c r="K157" s="83"/>
      <c r="L157" s="19"/>
      <c r="M157" s="96">
        <f>M36+M42+M78+M83+M89+M113+M155</f>
        <v>110550</v>
      </c>
      <c r="N157" s="83"/>
      <c r="O157" s="19"/>
      <c r="P157" s="96">
        <f>P36+P42+P78+P83+P89+P113+P155</f>
        <v>141710</v>
      </c>
      <c r="Q157" s="18"/>
      <c r="R157" s="19">
        <f>R36+R42+R78+R83+R89+R113+R155</f>
        <v>495590</v>
      </c>
      <c r="S157" s="73">
        <f>G157+J157+M157+P157</f>
        <v>495590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s="4" customFormat="1" ht="16.5" thickBot="1" x14ac:dyDescent="0.3">
      <c r="A158" s="48"/>
      <c r="B158" s="24"/>
      <c r="C158" s="24"/>
      <c r="D158" s="116"/>
      <c r="E158" s="93"/>
      <c r="F158" s="25"/>
      <c r="G158" s="46"/>
      <c r="H158" s="64"/>
      <c r="I158" s="25"/>
      <c r="J158" s="25"/>
      <c r="K158" s="93"/>
      <c r="L158" s="25"/>
      <c r="M158" s="46"/>
      <c r="N158" s="93"/>
      <c r="O158" s="25"/>
      <c r="P158" s="46"/>
      <c r="Q158" s="24" t="s">
        <v>605</v>
      </c>
      <c r="R158" s="25"/>
      <c r="S158" s="73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s="4" customFormat="1" ht="16.5" thickTop="1" x14ac:dyDescent="0.25">
      <c r="A159" s="74"/>
      <c r="B159" s="10"/>
      <c r="C159" s="10"/>
      <c r="D159" s="112"/>
      <c r="E159" s="57"/>
      <c r="F159" s="17"/>
      <c r="G159" s="27"/>
      <c r="H159" s="56"/>
      <c r="I159" s="17"/>
      <c r="J159" s="17"/>
      <c r="K159" s="57"/>
      <c r="L159" s="17"/>
      <c r="M159" s="27"/>
      <c r="N159" s="57"/>
      <c r="O159" s="17"/>
      <c r="P159" s="27"/>
      <c r="Q159" s="18"/>
      <c r="R159" s="17"/>
      <c r="S159" s="73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s="4" customFormat="1" x14ac:dyDescent="0.25">
      <c r="A160" s="38" t="s">
        <v>606</v>
      </c>
      <c r="B160" s="10" t="s">
        <v>607</v>
      </c>
      <c r="C160" s="106">
        <f>$B$8</f>
        <v>0.25</v>
      </c>
      <c r="D160" s="140"/>
      <c r="E160" s="57"/>
      <c r="F160" s="17"/>
      <c r="G160" s="96">
        <f>G157*$C$160</f>
        <v>34001.25</v>
      </c>
      <c r="H160" s="58"/>
      <c r="I160" s="19"/>
      <c r="J160" s="19">
        <f>J157*$C$160</f>
        <v>26831.25</v>
      </c>
      <c r="K160" s="83"/>
      <c r="L160" s="19"/>
      <c r="M160" s="96">
        <f>M157*$C$160</f>
        <v>27637.5</v>
      </c>
      <c r="N160" s="83"/>
      <c r="O160" s="19"/>
      <c r="P160" s="96">
        <f>P157*$C$160</f>
        <v>35427.5</v>
      </c>
      <c r="Q160" s="18"/>
      <c r="R160" s="19">
        <f>R157*$C$160</f>
        <v>123897.5</v>
      </c>
      <c r="S160" s="73">
        <f>G160+J160+M160+P160</f>
        <v>123897.5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.5" thickBot="1" x14ac:dyDescent="0.3">
      <c r="A161" s="48"/>
      <c r="B161" s="24"/>
      <c r="C161" s="24"/>
      <c r="D161" s="116"/>
      <c r="E161" s="93"/>
      <c r="F161" s="25"/>
      <c r="G161" s="46"/>
      <c r="H161" s="64"/>
      <c r="I161" s="25"/>
      <c r="J161" s="25"/>
      <c r="K161" s="93"/>
      <c r="L161" s="25"/>
      <c r="M161" s="46"/>
      <c r="N161" s="93"/>
      <c r="O161" s="25"/>
      <c r="P161" s="46"/>
      <c r="Q161" s="24"/>
      <c r="R161" s="25"/>
      <c r="S161" s="7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ht="16.5" thickTop="1" x14ac:dyDescent="0.25">
      <c r="A162" s="38"/>
      <c r="B162" s="18"/>
      <c r="C162" s="18"/>
      <c r="D162" s="115"/>
      <c r="E162" s="83"/>
      <c r="F162" s="19"/>
      <c r="G162" s="96"/>
      <c r="H162" s="58"/>
      <c r="I162" s="19"/>
      <c r="J162" s="19"/>
      <c r="K162" s="83"/>
      <c r="L162" s="19"/>
      <c r="M162" s="96"/>
      <c r="N162" s="83"/>
      <c r="O162" s="19"/>
      <c r="P162" s="96"/>
      <c r="Q162" s="18"/>
      <c r="R162" s="19"/>
      <c r="S162" s="73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 x14ac:dyDescent="0.25">
      <c r="A163" s="38" t="s">
        <v>608</v>
      </c>
      <c r="B163" s="18"/>
      <c r="C163" s="18"/>
      <c r="D163" s="115"/>
      <c r="E163" s="83"/>
      <c r="F163" s="19"/>
      <c r="G163" s="104">
        <f>G157+G160</f>
        <v>170006.25</v>
      </c>
      <c r="H163" s="58"/>
      <c r="I163" s="40"/>
      <c r="J163" s="40">
        <f>J157+J160</f>
        <v>134156.25</v>
      </c>
      <c r="K163" s="83"/>
      <c r="L163" s="40"/>
      <c r="M163" s="104">
        <f>M157+M160</f>
        <v>138187.5</v>
      </c>
      <c r="N163" s="83"/>
      <c r="O163" s="40"/>
      <c r="P163" s="104">
        <f>P157+P160</f>
        <v>177137.5</v>
      </c>
      <c r="Q163" s="18"/>
      <c r="R163" s="40">
        <f>R157+R160</f>
        <v>619487.5</v>
      </c>
      <c r="S163" s="73">
        <f>SUM(G157:P160)</f>
        <v>619487.5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ht="16.5" thickBot="1" x14ac:dyDescent="0.3">
      <c r="A164" s="169" t="s">
        <v>609</v>
      </c>
      <c r="B164" s="13"/>
      <c r="C164" s="13"/>
      <c r="D164" s="113"/>
      <c r="E164" s="94"/>
      <c r="F164" s="21"/>
      <c r="G164" s="105"/>
      <c r="H164" s="69"/>
      <c r="I164" s="21"/>
      <c r="J164" s="41"/>
      <c r="K164" s="94"/>
      <c r="L164" s="21"/>
      <c r="M164" s="105"/>
      <c r="N164" s="94"/>
      <c r="O164" s="21"/>
      <c r="P164" s="105"/>
      <c r="Q164" s="24"/>
      <c r="R164" s="41"/>
      <c r="S164" s="7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ht="16.5" thickTop="1" x14ac:dyDescent="0.25">
      <c r="A165" s="1" t="s">
        <v>610</v>
      </c>
      <c r="B165" s="1"/>
      <c r="C165" s="139"/>
      <c r="D165" s="139"/>
      <c r="E165" s="50"/>
      <c r="F165" s="1"/>
      <c r="G165" s="1"/>
      <c r="H165" s="50"/>
      <c r="I165" s="1"/>
      <c r="J165" s="1"/>
      <c r="K165" s="50"/>
      <c r="L165" s="1"/>
      <c r="M165" s="1"/>
      <c r="N165" s="50"/>
      <c r="O165" s="1"/>
      <c r="P165" s="1"/>
      <c r="Q165" s="3"/>
      <c r="R165" s="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s="1" customFormat="1" x14ac:dyDescent="0.25">
      <c r="E166" s="50"/>
      <c r="H166" s="50"/>
      <c r="K166" s="50"/>
      <c r="N166" s="50"/>
      <c r="Q166" s="3"/>
      <c r="R166" s="3"/>
      <c r="S166" s="4"/>
    </row>
    <row r="167" spans="1:59" s="1" customFormat="1" x14ac:dyDescent="0.25">
      <c r="E167" s="50"/>
      <c r="H167" s="50"/>
      <c r="K167" s="50"/>
      <c r="N167" s="50"/>
      <c r="Q167" s="3"/>
      <c r="R167" s="3"/>
      <c r="S167" s="4"/>
    </row>
    <row r="168" spans="1:59" s="1" customFormat="1" x14ac:dyDescent="0.25">
      <c r="E168" s="50"/>
      <c r="H168" s="50"/>
      <c r="K168" s="50"/>
      <c r="N168" s="50"/>
      <c r="Q168" s="3"/>
      <c r="R168" s="3"/>
      <c r="S168" s="4"/>
    </row>
  </sheetData>
  <mergeCells count="9">
    <mergeCell ref="E11:J11"/>
    <mergeCell ref="K11:M11"/>
    <mergeCell ref="N11:P11"/>
    <mergeCell ref="Q13:R13"/>
    <mergeCell ref="E14:G14"/>
    <mergeCell ref="H14:J14"/>
    <mergeCell ref="K14:M14"/>
    <mergeCell ref="N14:P14"/>
    <mergeCell ref="Q14:R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G173"/>
  <sheetViews>
    <sheetView tabSelected="1" zoomScale="55" zoomScaleNormal="5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C3" sqref="C3"/>
    </sheetView>
  </sheetViews>
  <sheetFormatPr defaultColWidth="11.28515625" defaultRowHeight="15.75" x14ac:dyDescent="0.25"/>
  <cols>
    <col min="1" max="1" width="68.140625" style="5" customWidth="1"/>
    <col min="2" max="2" width="8.85546875" style="5" customWidth="1"/>
    <col min="3" max="3" width="113.7109375" style="5" customWidth="1"/>
    <col min="4" max="4" width="14.85546875" style="5" customWidth="1"/>
    <col min="5" max="5" width="10.28515625" style="63" customWidth="1"/>
    <col min="6" max="6" width="22.85546875" style="5" customWidth="1"/>
    <col min="7" max="7" width="17.85546875" style="5" customWidth="1"/>
    <col min="8" max="8" width="8.85546875" style="63" customWidth="1"/>
    <col min="9" max="9" width="22.85546875" style="5" customWidth="1"/>
    <col min="10" max="10" width="17.85546875" style="5" customWidth="1"/>
    <col min="11" max="11" width="8.85546875" style="63" customWidth="1"/>
    <col min="12" max="12" width="22.85546875" style="5" customWidth="1"/>
    <col min="13" max="13" width="17.85546875" style="5" customWidth="1"/>
    <col min="14" max="14" width="8.85546875" style="63" customWidth="1"/>
    <col min="15" max="15" width="22.85546875" style="5" customWidth="1"/>
    <col min="16" max="16" width="17.85546875" style="5" customWidth="1"/>
    <col min="17" max="17" width="13" style="20" customWidth="1"/>
    <col min="18" max="18" width="18" style="20" customWidth="1"/>
    <col min="19" max="19" width="11.28515625" style="4"/>
    <col min="20" max="16384" width="11.28515625" style="5"/>
  </cols>
  <sheetData>
    <row r="1" spans="1:19" x14ac:dyDescent="0.25">
      <c r="A1" s="82" t="s">
        <v>611</v>
      </c>
      <c r="B1" s="1"/>
      <c r="C1" s="1"/>
      <c r="D1" s="1"/>
      <c r="E1" s="50"/>
      <c r="F1" s="1"/>
      <c r="G1" s="1"/>
      <c r="H1" s="50"/>
      <c r="I1" s="1"/>
      <c r="J1" s="1"/>
      <c r="K1" s="50"/>
      <c r="L1" s="1"/>
      <c r="M1" s="1"/>
      <c r="N1" s="50"/>
      <c r="O1" s="1"/>
      <c r="P1" s="1"/>
      <c r="Q1" s="3"/>
      <c r="R1" s="3"/>
    </row>
    <row r="2" spans="1:19" ht="15" customHeight="1" x14ac:dyDescent="0.25">
      <c r="A2" s="82"/>
      <c r="B2" s="1"/>
      <c r="C2" s="1"/>
      <c r="D2" s="1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  <c r="P2" s="1"/>
      <c r="Q2" s="3"/>
      <c r="R2" s="3"/>
    </row>
    <row r="3" spans="1:19" ht="15" customHeight="1" x14ac:dyDescent="0.25">
      <c r="A3" s="81" t="s">
        <v>612</v>
      </c>
      <c r="B3" s="1"/>
      <c r="C3" s="1"/>
      <c r="D3" s="1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3"/>
      <c r="R3" s="6">
        <f ca="1">NOW()</f>
        <v>42445.612712499998</v>
      </c>
    </row>
    <row r="4" spans="1:19" ht="15" customHeight="1" x14ac:dyDescent="0.25">
      <c r="A4" s="82" t="s">
        <v>613</v>
      </c>
      <c r="B4" s="1"/>
      <c r="C4" s="1"/>
      <c r="D4" s="1"/>
      <c r="E4" s="50"/>
      <c r="F4" s="50"/>
      <c r="G4" s="50"/>
      <c r="H4" s="50"/>
      <c r="I4" s="50"/>
      <c r="J4" s="50"/>
      <c r="K4" s="50"/>
      <c r="L4" s="50"/>
      <c r="M4" s="50"/>
      <c r="N4" s="50"/>
      <c r="O4" s="1"/>
      <c r="P4" s="1"/>
      <c r="Q4" s="3"/>
      <c r="R4" s="7"/>
    </row>
    <row r="5" spans="1:19" ht="15" customHeight="1" x14ac:dyDescent="0.25">
      <c r="A5" s="82" t="s">
        <v>614</v>
      </c>
      <c r="B5" s="1"/>
      <c r="C5" s="2"/>
      <c r="D5" s="2"/>
      <c r="E5" s="50"/>
      <c r="F5" s="50"/>
      <c r="G5" s="50"/>
      <c r="H5" s="50"/>
      <c r="I5" s="50"/>
      <c r="J5" s="50"/>
      <c r="K5" s="50"/>
      <c r="L5" s="50"/>
      <c r="M5" s="50"/>
      <c r="N5" s="50"/>
      <c r="O5" s="1"/>
      <c r="P5" s="1"/>
      <c r="Q5" s="3"/>
      <c r="R5" s="3"/>
    </row>
    <row r="6" spans="1:19" x14ac:dyDescent="0.25">
      <c r="A6" s="81" t="s">
        <v>615</v>
      </c>
      <c r="B6" s="82"/>
      <c r="C6" s="82"/>
      <c r="D6" s="1"/>
      <c r="E6" s="50"/>
      <c r="F6" s="1"/>
      <c r="G6" s="1"/>
      <c r="H6" s="50"/>
      <c r="I6" s="1"/>
      <c r="J6" s="1"/>
      <c r="K6" s="50"/>
      <c r="L6" s="1"/>
      <c r="M6" s="1"/>
      <c r="N6" s="50"/>
      <c r="O6" s="1"/>
      <c r="P6" s="1"/>
      <c r="Q6" s="3"/>
      <c r="R6" s="7"/>
    </row>
    <row r="7" spans="1:19" x14ac:dyDescent="0.25">
      <c r="A7" s="128" t="s">
        <v>616</v>
      </c>
      <c r="B7" s="129">
        <v>0.15</v>
      </c>
      <c r="C7" s="130" t="s">
        <v>617</v>
      </c>
      <c r="D7" s="1"/>
      <c r="E7" s="50"/>
      <c r="F7" s="1"/>
      <c r="G7" s="1"/>
      <c r="H7" s="50"/>
      <c r="I7" s="1"/>
      <c r="J7" s="1"/>
      <c r="K7" s="50"/>
      <c r="L7" s="1"/>
      <c r="M7" s="1"/>
      <c r="N7" s="50"/>
      <c r="O7" s="1"/>
      <c r="P7" s="1"/>
      <c r="Q7" s="3"/>
      <c r="R7" s="7"/>
    </row>
    <row r="8" spans="1:19" x14ac:dyDescent="0.25">
      <c r="A8" s="131" t="s">
        <v>618</v>
      </c>
      <c r="B8" s="132">
        <v>0.25</v>
      </c>
      <c r="C8" s="125" t="s">
        <v>619</v>
      </c>
      <c r="D8" s="1"/>
      <c r="E8" s="50"/>
      <c r="F8" s="1"/>
      <c r="G8" s="1"/>
      <c r="H8" s="50"/>
      <c r="I8" s="1"/>
      <c r="J8" s="1"/>
      <c r="K8" s="50"/>
      <c r="L8" s="1"/>
      <c r="M8" s="1"/>
      <c r="N8" s="50"/>
      <c r="O8" s="1"/>
      <c r="P8" s="1"/>
      <c r="Q8" s="3"/>
      <c r="R8" s="7"/>
    </row>
    <row r="9" spans="1:19" x14ac:dyDescent="0.25">
      <c r="A9" s="131" t="s">
        <v>620</v>
      </c>
      <c r="B9" s="132">
        <v>0.03</v>
      </c>
      <c r="C9" s="125" t="s">
        <v>621</v>
      </c>
      <c r="D9" s="1"/>
      <c r="E9" s="50"/>
      <c r="F9" s="1"/>
      <c r="G9" s="1"/>
      <c r="H9" s="50"/>
      <c r="I9" s="1"/>
      <c r="J9" s="1"/>
      <c r="K9" s="50"/>
      <c r="L9" s="1"/>
      <c r="M9" s="1"/>
      <c r="N9" s="50"/>
      <c r="O9" s="1"/>
      <c r="P9" s="1"/>
      <c r="Q9" s="3"/>
      <c r="R9" s="7"/>
    </row>
    <row r="10" spans="1:19" x14ac:dyDescent="0.25">
      <c r="A10" s="133" t="s">
        <v>622</v>
      </c>
      <c r="B10" s="134">
        <v>2</v>
      </c>
      <c r="C10" s="135" t="s">
        <v>623</v>
      </c>
      <c r="D10" s="1"/>
      <c r="E10" s="50"/>
      <c r="F10" s="1"/>
      <c r="G10" s="1"/>
      <c r="H10" s="50"/>
      <c r="I10" s="1"/>
      <c r="J10" s="1"/>
      <c r="K10" s="50"/>
      <c r="L10" s="1"/>
      <c r="M10" s="1"/>
      <c r="N10" s="50"/>
      <c r="O10" s="1"/>
      <c r="P10" s="1"/>
      <c r="Q10" s="3"/>
      <c r="R10" s="7"/>
    </row>
    <row r="11" spans="1:19" s="20" customFormat="1" ht="18.75" x14ac:dyDescent="0.25">
      <c r="A11" s="80"/>
      <c r="B11" s="141"/>
      <c r="C11" s="3"/>
      <c r="D11" s="3"/>
      <c r="E11" s="192" t="s">
        <v>624</v>
      </c>
      <c r="F11" s="193"/>
      <c r="G11" s="193"/>
      <c r="H11" s="193"/>
      <c r="I11" s="193"/>
      <c r="J11" s="194"/>
      <c r="K11" s="192" t="s">
        <v>625</v>
      </c>
      <c r="L11" s="193"/>
      <c r="M11" s="194"/>
      <c r="N11" s="192" t="s">
        <v>626</v>
      </c>
      <c r="O11" s="193"/>
      <c r="P11" s="194"/>
      <c r="Q11" s="3"/>
      <c r="R11" s="7"/>
      <c r="S11" s="142"/>
    </row>
    <row r="12" spans="1:19" x14ac:dyDescent="0.25">
      <c r="A12" s="166"/>
      <c r="B12" s="8"/>
      <c r="C12" s="8"/>
      <c r="D12" s="111" t="s">
        <v>627</v>
      </c>
      <c r="E12" s="143"/>
      <c r="F12" s="144"/>
      <c r="G12" s="130"/>
      <c r="H12" s="109"/>
      <c r="I12" s="8"/>
      <c r="J12" s="8"/>
      <c r="K12" s="143"/>
      <c r="L12" s="144"/>
      <c r="M12" s="130"/>
      <c r="N12" s="143"/>
      <c r="O12" s="144"/>
      <c r="P12" s="130"/>
      <c r="Q12" s="150"/>
      <c r="R12" s="9"/>
    </row>
    <row r="13" spans="1:19" x14ac:dyDescent="0.25">
      <c r="A13" s="167" t="s">
        <v>628</v>
      </c>
      <c r="B13" s="10"/>
      <c r="C13" s="10"/>
      <c r="D13" s="112" t="s">
        <v>629</v>
      </c>
      <c r="E13" s="90"/>
      <c r="F13" s="11" t="s">
        <v>630</v>
      </c>
      <c r="G13" s="125"/>
      <c r="H13" s="54"/>
      <c r="I13" s="11" t="s">
        <v>631</v>
      </c>
      <c r="J13" s="10"/>
      <c r="K13" s="90"/>
      <c r="L13" s="11" t="s">
        <v>632</v>
      </c>
      <c r="M13" s="125"/>
      <c r="N13" s="90"/>
      <c r="O13" s="11" t="s">
        <v>633</v>
      </c>
      <c r="P13" s="125"/>
      <c r="Q13" s="195" t="s">
        <v>634</v>
      </c>
      <c r="R13" s="196"/>
      <c r="S13" s="4" t="s">
        <v>635</v>
      </c>
    </row>
    <row r="14" spans="1:19" x14ac:dyDescent="0.25">
      <c r="A14" s="168"/>
      <c r="B14" s="12"/>
      <c r="C14" s="10"/>
      <c r="D14" s="112" t="s">
        <v>636</v>
      </c>
      <c r="E14" s="197" t="s">
        <v>637</v>
      </c>
      <c r="F14" s="198"/>
      <c r="G14" s="199"/>
      <c r="H14" s="198" t="s">
        <v>638</v>
      </c>
      <c r="I14" s="198"/>
      <c r="J14" s="198"/>
      <c r="K14" s="197" t="s">
        <v>639</v>
      </c>
      <c r="L14" s="198"/>
      <c r="M14" s="199"/>
      <c r="N14" s="197" t="s">
        <v>640</v>
      </c>
      <c r="O14" s="198"/>
      <c r="P14" s="199"/>
      <c r="Q14" s="195" t="s">
        <v>641</v>
      </c>
      <c r="R14" s="196"/>
    </row>
    <row r="15" spans="1:19" ht="16.5" thickBot="1" x14ac:dyDescent="0.3">
      <c r="A15" s="169" t="s">
        <v>642</v>
      </c>
      <c r="B15" s="13"/>
      <c r="C15" s="13"/>
      <c r="D15" s="113" t="s">
        <v>643</v>
      </c>
      <c r="E15" s="118" t="s">
        <v>644</v>
      </c>
      <c r="F15" s="14" t="s">
        <v>645</v>
      </c>
      <c r="G15" s="126" t="s">
        <v>646</v>
      </c>
      <c r="H15" s="110" t="s">
        <v>647</v>
      </c>
      <c r="I15" s="14" t="s">
        <v>648</v>
      </c>
      <c r="J15" s="14" t="s">
        <v>649</v>
      </c>
      <c r="K15" s="118" t="s">
        <v>650</v>
      </c>
      <c r="L15" s="14" t="s">
        <v>651</v>
      </c>
      <c r="M15" s="126" t="s">
        <v>652</v>
      </c>
      <c r="N15" s="118" t="s">
        <v>653</v>
      </c>
      <c r="O15" s="14" t="s">
        <v>654</v>
      </c>
      <c r="P15" s="126" t="s">
        <v>655</v>
      </c>
      <c r="Q15" s="151" t="s">
        <v>656</v>
      </c>
      <c r="R15" s="15" t="s">
        <v>657</v>
      </c>
    </row>
    <row r="16" spans="1:19" ht="16.5" thickTop="1" x14ac:dyDescent="0.25">
      <c r="A16" s="168"/>
      <c r="B16" s="12"/>
      <c r="C16" s="10"/>
      <c r="D16" s="112"/>
      <c r="E16" s="90"/>
      <c r="F16" s="12"/>
      <c r="G16" s="127"/>
      <c r="H16" s="121"/>
      <c r="I16" s="12"/>
      <c r="J16" s="12"/>
      <c r="K16" s="119"/>
      <c r="L16" s="12"/>
      <c r="M16" s="127"/>
      <c r="N16" s="119"/>
      <c r="O16" s="12"/>
      <c r="P16" s="127"/>
      <c r="Q16" s="18"/>
      <c r="R16" s="70"/>
      <c r="S16" s="73"/>
    </row>
    <row r="17" spans="1:19" x14ac:dyDescent="0.25">
      <c r="A17" s="38" t="s">
        <v>658</v>
      </c>
      <c r="B17" s="10"/>
      <c r="C17" s="10"/>
      <c r="D17" s="112"/>
      <c r="E17" s="90"/>
      <c r="F17" s="10"/>
      <c r="G17" s="125"/>
      <c r="H17" s="54"/>
      <c r="I17" s="10"/>
      <c r="J17" s="10"/>
      <c r="K17" s="90"/>
      <c r="L17" s="10"/>
      <c r="M17" s="125"/>
      <c r="N17" s="90"/>
      <c r="O17" s="10"/>
      <c r="P17" s="125"/>
      <c r="Q17" s="152"/>
      <c r="R17" s="18"/>
      <c r="S17" s="73"/>
    </row>
    <row r="18" spans="1:19" x14ac:dyDescent="0.25">
      <c r="A18" s="38"/>
      <c r="B18" s="10"/>
      <c r="C18" s="10"/>
      <c r="D18" s="112"/>
      <c r="E18" s="145" t="s">
        <v>659</v>
      </c>
      <c r="F18" s="10"/>
      <c r="G18" s="125"/>
      <c r="H18" s="54"/>
      <c r="I18" s="10"/>
      <c r="J18" s="10"/>
      <c r="K18" s="90"/>
      <c r="L18" s="10"/>
      <c r="M18" s="125"/>
      <c r="N18" s="90"/>
      <c r="O18" s="10"/>
      <c r="P18" s="125"/>
      <c r="Q18" s="153" t="s">
        <v>660</v>
      </c>
      <c r="R18" s="18"/>
      <c r="S18" s="73"/>
    </row>
    <row r="19" spans="1:19" x14ac:dyDescent="0.25">
      <c r="A19" s="38" t="s">
        <v>661</v>
      </c>
      <c r="B19" s="10"/>
      <c r="C19" s="10"/>
      <c r="D19" s="112"/>
      <c r="E19" s="51"/>
      <c r="F19" s="17"/>
      <c r="G19" s="27"/>
      <c r="H19" s="53"/>
      <c r="I19" s="17"/>
      <c r="J19" s="17"/>
      <c r="K19" s="51"/>
      <c r="L19" s="17"/>
      <c r="M19" s="27"/>
      <c r="N19" s="51"/>
      <c r="O19" s="17"/>
      <c r="P19" s="27"/>
      <c r="Q19" s="53"/>
      <c r="R19" s="19"/>
      <c r="S19" s="73"/>
    </row>
    <row r="20" spans="1:19" x14ac:dyDescent="0.25">
      <c r="A20" s="30" t="s">
        <v>662</v>
      </c>
      <c r="B20" s="10"/>
      <c r="C20" s="10"/>
      <c r="D20" s="112" t="s">
        <v>663</v>
      </c>
      <c r="E20" s="51">
        <v>12</v>
      </c>
      <c r="F20" s="17">
        <v>600</v>
      </c>
      <c r="G20" s="27">
        <f t="shared" ref="G20:G25" si="0">ROUND((+E20*F20),0)</f>
        <v>7200</v>
      </c>
      <c r="H20" s="51">
        <v>2</v>
      </c>
      <c r="I20" s="17">
        <f t="shared" ref="I20:I25" si="1">F20</f>
        <v>600</v>
      </c>
      <c r="J20" s="17">
        <f t="shared" ref="J20:J25" si="2">ROUND((+H20*I20),0)</f>
        <v>1200</v>
      </c>
      <c r="K20" s="51">
        <v>2</v>
      </c>
      <c r="L20" s="17">
        <f t="shared" ref="L20:L25" si="3">I20*(1+$B$9)</f>
        <v>618</v>
      </c>
      <c r="M20" s="27">
        <f t="shared" ref="M20:M25" si="4">ROUND((+K20*L20),0)</f>
        <v>1236</v>
      </c>
      <c r="N20" s="51">
        <v>2</v>
      </c>
      <c r="O20" s="17">
        <f t="shared" ref="O20:O25" si="5">L20*(1+$B$9)</f>
        <v>636.54</v>
      </c>
      <c r="P20" s="27">
        <f t="shared" ref="P20:P25" si="6">ROUND((+N20*O20),0)</f>
        <v>1273</v>
      </c>
      <c r="Q20" s="53">
        <f t="shared" ref="Q20:Q25" si="7">E20+H20+K20+N20</f>
        <v>18</v>
      </c>
      <c r="R20" s="19">
        <f t="shared" ref="R20:R25" si="8">G20+J20+M20+P20</f>
        <v>10909</v>
      </c>
      <c r="S20" s="74"/>
    </row>
    <row r="21" spans="1:19" x14ac:dyDescent="0.25">
      <c r="A21" s="30" t="s">
        <v>664</v>
      </c>
      <c r="B21" s="10"/>
      <c r="C21" s="10"/>
      <c r="D21" s="112" t="s">
        <v>665</v>
      </c>
      <c r="E21" s="51">
        <v>1</v>
      </c>
      <c r="F21" s="17">
        <v>600</v>
      </c>
      <c r="G21" s="27">
        <f t="shared" si="0"/>
        <v>600</v>
      </c>
      <c r="H21" s="51">
        <v>1</v>
      </c>
      <c r="I21" s="17">
        <f t="shared" si="1"/>
        <v>600</v>
      </c>
      <c r="J21" s="17">
        <f t="shared" si="2"/>
        <v>600</v>
      </c>
      <c r="K21" s="51">
        <v>1</v>
      </c>
      <c r="L21" s="17">
        <f t="shared" si="3"/>
        <v>618</v>
      </c>
      <c r="M21" s="27">
        <f t="shared" si="4"/>
        <v>618</v>
      </c>
      <c r="N21" s="51">
        <v>1</v>
      </c>
      <c r="O21" s="17">
        <f t="shared" si="5"/>
        <v>636.54</v>
      </c>
      <c r="P21" s="27">
        <f t="shared" si="6"/>
        <v>637</v>
      </c>
      <c r="Q21" s="53">
        <f t="shared" si="7"/>
        <v>4</v>
      </c>
      <c r="R21" s="19">
        <f t="shared" si="8"/>
        <v>2455</v>
      </c>
      <c r="S21" s="74"/>
    </row>
    <row r="22" spans="1:19" x14ac:dyDescent="0.25">
      <c r="A22" s="170" t="s">
        <v>666</v>
      </c>
      <c r="B22" s="10"/>
      <c r="C22" s="107" t="s">
        <v>667</v>
      </c>
      <c r="D22" s="114" t="s">
        <v>668</v>
      </c>
      <c r="E22" s="51">
        <v>1</v>
      </c>
      <c r="F22" s="17">
        <v>600</v>
      </c>
      <c r="G22" s="27">
        <f t="shared" si="0"/>
        <v>600</v>
      </c>
      <c r="H22" s="51">
        <v>1</v>
      </c>
      <c r="I22" s="17">
        <f t="shared" si="1"/>
        <v>600</v>
      </c>
      <c r="J22" s="17">
        <f t="shared" si="2"/>
        <v>600</v>
      </c>
      <c r="K22" s="51">
        <v>1</v>
      </c>
      <c r="L22" s="17">
        <f t="shared" si="3"/>
        <v>618</v>
      </c>
      <c r="M22" s="27">
        <f t="shared" si="4"/>
        <v>618</v>
      </c>
      <c r="N22" s="51">
        <v>1</v>
      </c>
      <c r="O22" s="17">
        <f t="shared" si="5"/>
        <v>636.54</v>
      </c>
      <c r="P22" s="27">
        <f t="shared" si="6"/>
        <v>637</v>
      </c>
      <c r="Q22" s="53">
        <f t="shared" si="7"/>
        <v>4</v>
      </c>
      <c r="R22" s="19">
        <f t="shared" si="8"/>
        <v>2455</v>
      </c>
      <c r="S22" s="74"/>
    </row>
    <row r="23" spans="1:19" x14ac:dyDescent="0.25">
      <c r="A23" s="30" t="s">
        <v>669</v>
      </c>
      <c r="B23" s="10"/>
      <c r="C23" s="10"/>
      <c r="D23" s="112" t="s">
        <v>670</v>
      </c>
      <c r="E23" s="51">
        <v>0</v>
      </c>
      <c r="F23" s="17">
        <v>300</v>
      </c>
      <c r="G23" s="27">
        <f t="shared" si="0"/>
        <v>0</v>
      </c>
      <c r="H23" s="51">
        <v>0</v>
      </c>
      <c r="I23" s="17">
        <f t="shared" si="1"/>
        <v>300</v>
      </c>
      <c r="J23" s="17">
        <f t="shared" si="2"/>
        <v>0</v>
      </c>
      <c r="K23" s="51">
        <v>0</v>
      </c>
      <c r="L23" s="17">
        <f t="shared" si="3"/>
        <v>309</v>
      </c>
      <c r="M23" s="27">
        <f t="shared" si="4"/>
        <v>0</v>
      </c>
      <c r="N23" s="51">
        <v>0</v>
      </c>
      <c r="O23" s="17">
        <f t="shared" si="5"/>
        <v>318.27</v>
      </c>
      <c r="P23" s="27">
        <f t="shared" si="6"/>
        <v>0</v>
      </c>
      <c r="Q23" s="53">
        <f t="shared" si="7"/>
        <v>0</v>
      </c>
      <c r="R23" s="19">
        <f t="shared" si="8"/>
        <v>0</v>
      </c>
      <c r="S23" s="74"/>
    </row>
    <row r="24" spans="1:19" x14ac:dyDescent="0.25">
      <c r="A24" s="30" t="s">
        <v>671</v>
      </c>
      <c r="B24" s="10"/>
      <c r="C24" s="10"/>
      <c r="D24" s="112" t="s">
        <v>672</v>
      </c>
      <c r="E24" s="51">
        <v>0</v>
      </c>
      <c r="F24" s="17">
        <v>450</v>
      </c>
      <c r="G24" s="27">
        <f t="shared" si="0"/>
        <v>0</v>
      </c>
      <c r="H24" s="51">
        <v>0</v>
      </c>
      <c r="I24" s="17">
        <f t="shared" si="1"/>
        <v>450</v>
      </c>
      <c r="J24" s="17">
        <f t="shared" si="2"/>
        <v>0</v>
      </c>
      <c r="K24" s="51">
        <v>0</v>
      </c>
      <c r="L24" s="17">
        <f t="shared" si="3"/>
        <v>463.5</v>
      </c>
      <c r="M24" s="27">
        <f t="shared" si="4"/>
        <v>0</v>
      </c>
      <c r="N24" s="51">
        <v>0</v>
      </c>
      <c r="O24" s="17">
        <f t="shared" si="5"/>
        <v>477.40500000000003</v>
      </c>
      <c r="P24" s="27">
        <f t="shared" si="6"/>
        <v>0</v>
      </c>
      <c r="Q24" s="53">
        <f t="shared" si="7"/>
        <v>0</v>
      </c>
      <c r="R24" s="19">
        <f t="shared" si="8"/>
        <v>0</v>
      </c>
      <c r="S24" s="74"/>
    </row>
    <row r="25" spans="1:19" x14ac:dyDescent="0.25">
      <c r="A25" s="30" t="s">
        <v>673</v>
      </c>
      <c r="B25" s="10"/>
      <c r="C25" s="10"/>
      <c r="D25" s="112" t="s">
        <v>674</v>
      </c>
      <c r="E25" s="51">
        <v>0</v>
      </c>
      <c r="F25" s="17">
        <v>300</v>
      </c>
      <c r="G25" s="27">
        <f t="shared" si="0"/>
        <v>0</v>
      </c>
      <c r="H25" s="51">
        <v>0</v>
      </c>
      <c r="I25" s="17">
        <f t="shared" si="1"/>
        <v>300</v>
      </c>
      <c r="J25" s="17">
        <f t="shared" si="2"/>
        <v>0</v>
      </c>
      <c r="K25" s="51">
        <v>0</v>
      </c>
      <c r="L25" s="17">
        <f t="shared" si="3"/>
        <v>309</v>
      </c>
      <c r="M25" s="27">
        <f t="shared" si="4"/>
        <v>0</v>
      </c>
      <c r="N25" s="51">
        <v>0</v>
      </c>
      <c r="O25" s="17">
        <f t="shared" si="5"/>
        <v>318.27</v>
      </c>
      <c r="P25" s="27">
        <f t="shared" si="6"/>
        <v>0</v>
      </c>
      <c r="Q25" s="53">
        <f t="shared" si="7"/>
        <v>0</v>
      </c>
      <c r="R25" s="19">
        <f t="shared" si="8"/>
        <v>0</v>
      </c>
      <c r="S25" s="74"/>
    </row>
    <row r="26" spans="1:19" x14ac:dyDescent="0.25">
      <c r="A26" s="38"/>
      <c r="B26" s="10"/>
      <c r="C26" s="10"/>
      <c r="D26" s="112"/>
      <c r="E26" s="51"/>
      <c r="F26" s="17"/>
      <c r="G26" s="27"/>
      <c r="H26" s="53"/>
      <c r="I26" s="17"/>
      <c r="J26" s="17"/>
      <c r="K26" s="51"/>
      <c r="L26" s="17"/>
      <c r="M26" s="27"/>
      <c r="N26" s="51"/>
      <c r="O26" s="17"/>
      <c r="P26" s="27"/>
      <c r="Q26" s="53"/>
      <c r="R26" s="19"/>
      <c r="S26" s="73"/>
    </row>
    <row r="27" spans="1:19" s="20" customFormat="1" x14ac:dyDescent="0.25">
      <c r="A27" s="161" t="s">
        <v>675</v>
      </c>
      <c r="B27" s="18"/>
      <c r="C27" s="18"/>
      <c r="D27" s="115"/>
      <c r="E27" s="51"/>
      <c r="F27" s="19"/>
      <c r="G27" s="96">
        <f>SUM(G20:G26)</f>
        <v>8400</v>
      </c>
      <c r="H27" s="53"/>
      <c r="I27" s="19"/>
      <c r="J27" s="19">
        <f>SUM(J20:J26)</f>
        <v>2400</v>
      </c>
      <c r="K27" s="51"/>
      <c r="L27" s="19"/>
      <c r="M27" s="96">
        <f>SUM(M20:M26)</f>
        <v>2472</v>
      </c>
      <c r="N27" s="51"/>
      <c r="O27" s="19"/>
      <c r="P27" s="96">
        <f>SUM(P20:P26)</f>
        <v>2547</v>
      </c>
      <c r="Q27" s="42"/>
      <c r="R27" s="19">
        <f>SUM(R20:R26)</f>
        <v>15819</v>
      </c>
      <c r="S27" s="75"/>
    </row>
    <row r="28" spans="1:19" s="20" customFormat="1" x14ac:dyDescent="0.25">
      <c r="A28" s="161"/>
      <c r="B28" s="18"/>
      <c r="C28" s="18"/>
      <c r="D28" s="115"/>
      <c r="E28" s="51"/>
      <c r="F28" s="19"/>
      <c r="G28" s="96"/>
      <c r="H28" s="53"/>
      <c r="I28" s="19"/>
      <c r="J28" s="19"/>
      <c r="K28" s="51"/>
      <c r="L28" s="19"/>
      <c r="M28" s="96"/>
      <c r="N28" s="51"/>
      <c r="O28" s="19"/>
      <c r="P28" s="96"/>
      <c r="Q28" s="42"/>
      <c r="R28" s="19"/>
      <c r="S28" s="75"/>
    </row>
    <row r="29" spans="1:19" x14ac:dyDescent="0.25">
      <c r="A29" s="38" t="s">
        <v>676</v>
      </c>
      <c r="B29" s="10"/>
      <c r="C29" s="10"/>
      <c r="D29" s="112"/>
      <c r="E29" s="51"/>
      <c r="F29" s="17"/>
      <c r="G29" s="27"/>
      <c r="H29" s="53"/>
      <c r="I29" s="17"/>
      <c r="J29" s="17"/>
      <c r="K29" s="51"/>
      <c r="L29" s="17"/>
      <c r="M29" s="27"/>
      <c r="N29" s="51"/>
      <c r="O29" s="17"/>
      <c r="P29" s="27"/>
      <c r="Q29" s="154"/>
      <c r="R29" s="19"/>
      <c r="S29" s="73"/>
    </row>
    <row r="30" spans="1:19" x14ac:dyDescent="0.25">
      <c r="A30" s="30" t="s">
        <v>677</v>
      </c>
      <c r="B30" s="10"/>
      <c r="C30" s="10"/>
      <c r="D30" s="112" t="s">
        <v>678</v>
      </c>
      <c r="E30" s="51">
        <v>25</v>
      </c>
      <c r="F30" s="17">
        <v>400</v>
      </c>
      <c r="G30" s="27">
        <f t="shared" ref="G30:G34" si="9">ROUND((+E30*F30),0)</f>
        <v>10000</v>
      </c>
      <c r="H30" s="53">
        <v>3</v>
      </c>
      <c r="I30" s="17">
        <f t="shared" ref="I30:I34" si="10">F30</f>
        <v>400</v>
      </c>
      <c r="J30" s="17">
        <f t="shared" ref="J30:J34" si="11">ROUND((+H30*I30),0)</f>
        <v>1200</v>
      </c>
      <c r="K30" s="51">
        <v>3</v>
      </c>
      <c r="L30" s="17">
        <f t="shared" ref="L30:L34" si="12">I30*(1+$B$9)</f>
        <v>412</v>
      </c>
      <c r="M30" s="27">
        <f t="shared" ref="M30:M34" si="13">ROUND((+K30*L30),0)</f>
        <v>1236</v>
      </c>
      <c r="N30" s="51">
        <v>18</v>
      </c>
      <c r="O30" s="17">
        <f t="shared" ref="O30:O34" si="14">L30*(1+$B$9)</f>
        <v>424.36</v>
      </c>
      <c r="P30" s="27">
        <f t="shared" ref="P30:P34" si="15">ROUND((+N30*O30),0)</f>
        <v>7638</v>
      </c>
      <c r="Q30" s="53">
        <f t="shared" ref="Q30:Q34" si="16">E30+H30+K30+N30</f>
        <v>49</v>
      </c>
      <c r="R30" s="19">
        <f t="shared" ref="R30:R34" si="17">G30+J30+M30+P30</f>
        <v>20074</v>
      </c>
      <c r="S30" s="74"/>
    </row>
    <row r="31" spans="1:19" x14ac:dyDescent="0.25">
      <c r="A31" s="30" t="s">
        <v>679</v>
      </c>
      <c r="B31" s="10"/>
      <c r="C31" s="10"/>
      <c r="D31" s="112" t="s">
        <v>680</v>
      </c>
      <c r="E31" s="51">
        <v>2</v>
      </c>
      <c r="F31" s="17">
        <v>400</v>
      </c>
      <c r="G31" s="27">
        <f t="shared" si="9"/>
        <v>800</v>
      </c>
      <c r="H31" s="53">
        <v>2</v>
      </c>
      <c r="I31" s="17">
        <f t="shared" si="10"/>
        <v>400</v>
      </c>
      <c r="J31" s="17">
        <f t="shared" si="11"/>
        <v>800</v>
      </c>
      <c r="K31" s="51">
        <v>2</v>
      </c>
      <c r="L31" s="17">
        <f t="shared" si="12"/>
        <v>412</v>
      </c>
      <c r="M31" s="27">
        <f t="shared" si="13"/>
        <v>824</v>
      </c>
      <c r="N31" s="51">
        <v>2</v>
      </c>
      <c r="O31" s="17">
        <f t="shared" si="14"/>
        <v>424.36</v>
      </c>
      <c r="P31" s="27">
        <f t="shared" si="15"/>
        <v>849</v>
      </c>
      <c r="Q31" s="53">
        <f t="shared" si="16"/>
        <v>8</v>
      </c>
      <c r="R31" s="19">
        <f t="shared" si="17"/>
        <v>3273</v>
      </c>
      <c r="S31" s="74"/>
    </row>
    <row r="32" spans="1:19" x14ac:dyDescent="0.25">
      <c r="A32" s="170" t="s">
        <v>681</v>
      </c>
      <c r="B32" s="10"/>
      <c r="C32" s="107" t="s">
        <v>682</v>
      </c>
      <c r="D32" s="114" t="s">
        <v>683</v>
      </c>
      <c r="E32" s="51">
        <f>$B$10*2</f>
        <v>4</v>
      </c>
      <c r="F32" s="17">
        <v>400</v>
      </c>
      <c r="G32" s="27">
        <f t="shared" si="9"/>
        <v>1600</v>
      </c>
      <c r="H32" s="53">
        <f>$B$10*2</f>
        <v>4</v>
      </c>
      <c r="I32" s="17">
        <f t="shared" si="10"/>
        <v>400</v>
      </c>
      <c r="J32" s="17">
        <f t="shared" si="11"/>
        <v>1600</v>
      </c>
      <c r="K32" s="51">
        <f>$B$10*2</f>
        <v>4</v>
      </c>
      <c r="L32" s="17">
        <f t="shared" si="12"/>
        <v>412</v>
      </c>
      <c r="M32" s="27">
        <f t="shared" si="13"/>
        <v>1648</v>
      </c>
      <c r="N32" s="51">
        <f>$B$10*2</f>
        <v>4</v>
      </c>
      <c r="O32" s="17">
        <f t="shared" si="14"/>
        <v>424.36</v>
      </c>
      <c r="P32" s="27">
        <f t="shared" si="15"/>
        <v>1697</v>
      </c>
      <c r="Q32" s="53">
        <f t="shared" si="16"/>
        <v>16</v>
      </c>
      <c r="R32" s="19">
        <f t="shared" si="17"/>
        <v>6545</v>
      </c>
      <c r="S32" s="74"/>
    </row>
    <row r="33" spans="1:19" x14ac:dyDescent="0.25">
      <c r="A33" s="30" t="s">
        <v>684</v>
      </c>
      <c r="B33" s="10"/>
      <c r="C33" s="10"/>
      <c r="D33" s="112" t="s">
        <v>685</v>
      </c>
      <c r="E33" s="51">
        <v>12</v>
      </c>
      <c r="F33" s="17">
        <v>250</v>
      </c>
      <c r="G33" s="27">
        <f t="shared" si="9"/>
        <v>3000</v>
      </c>
      <c r="H33" s="53">
        <v>12</v>
      </c>
      <c r="I33" s="17">
        <f t="shared" si="10"/>
        <v>250</v>
      </c>
      <c r="J33" s="17">
        <f t="shared" si="11"/>
        <v>3000</v>
      </c>
      <c r="K33" s="51">
        <v>12</v>
      </c>
      <c r="L33" s="17">
        <f t="shared" si="12"/>
        <v>257.5</v>
      </c>
      <c r="M33" s="27">
        <f t="shared" si="13"/>
        <v>3090</v>
      </c>
      <c r="N33" s="51">
        <v>12</v>
      </c>
      <c r="O33" s="17">
        <f t="shared" si="14"/>
        <v>265.22500000000002</v>
      </c>
      <c r="P33" s="27">
        <f t="shared" si="15"/>
        <v>3183</v>
      </c>
      <c r="Q33" s="53">
        <f t="shared" si="16"/>
        <v>48</v>
      </c>
      <c r="R33" s="19">
        <f t="shared" si="17"/>
        <v>12273</v>
      </c>
      <c r="S33" s="74"/>
    </row>
    <row r="34" spans="1:19" x14ac:dyDescent="0.25">
      <c r="A34" s="30" t="s">
        <v>686</v>
      </c>
      <c r="B34" s="10"/>
      <c r="C34" s="10"/>
      <c r="D34" s="112" t="s">
        <v>687</v>
      </c>
      <c r="E34" s="51">
        <v>6</v>
      </c>
      <c r="F34" s="17">
        <v>250</v>
      </c>
      <c r="G34" s="27">
        <f t="shared" si="9"/>
        <v>1500</v>
      </c>
      <c r="H34" s="53">
        <v>6</v>
      </c>
      <c r="I34" s="17">
        <f t="shared" si="10"/>
        <v>250</v>
      </c>
      <c r="J34" s="17">
        <f t="shared" si="11"/>
        <v>1500</v>
      </c>
      <c r="K34" s="51">
        <v>6</v>
      </c>
      <c r="L34" s="17">
        <f t="shared" si="12"/>
        <v>257.5</v>
      </c>
      <c r="M34" s="27">
        <f t="shared" si="13"/>
        <v>1545</v>
      </c>
      <c r="N34" s="51">
        <v>6</v>
      </c>
      <c r="O34" s="17">
        <f t="shared" si="14"/>
        <v>265.22500000000002</v>
      </c>
      <c r="P34" s="27">
        <f t="shared" si="15"/>
        <v>1591</v>
      </c>
      <c r="Q34" s="53">
        <f t="shared" si="16"/>
        <v>24</v>
      </c>
      <c r="R34" s="19">
        <f t="shared" si="17"/>
        <v>6136</v>
      </c>
      <c r="S34" s="74"/>
    </row>
    <row r="35" spans="1:19" x14ac:dyDescent="0.25">
      <c r="A35" s="30" t="s">
        <v>688</v>
      </c>
      <c r="B35" s="10"/>
      <c r="C35" s="10"/>
      <c r="D35" s="112" t="s">
        <v>689</v>
      </c>
      <c r="E35" s="51">
        <v>10</v>
      </c>
      <c r="F35" s="17">
        <v>250</v>
      </c>
      <c r="G35" s="27">
        <f>ROUND((+E35*F35),0)</f>
        <v>2500</v>
      </c>
      <c r="H35" s="53">
        <v>6</v>
      </c>
      <c r="I35" s="17">
        <f>F35</f>
        <v>250</v>
      </c>
      <c r="J35" s="17">
        <f>ROUND((+H35*I35),0)</f>
        <v>1500</v>
      </c>
      <c r="K35" s="51">
        <v>6</v>
      </c>
      <c r="L35" s="17">
        <f>I35*(1+$B$9)</f>
        <v>257.5</v>
      </c>
      <c r="M35" s="27">
        <f>ROUND((+K35*L35),0)</f>
        <v>1545</v>
      </c>
      <c r="N35" s="51">
        <v>6</v>
      </c>
      <c r="O35" s="17">
        <f>L35*(1+$B$9)</f>
        <v>265.22500000000002</v>
      </c>
      <c r="P35" s="27">
        <f>ROUND((+N35*O35),0)</f>
        <v>1591</v>
      </c>
      <c r="Q35" s="53">
        <f>E35+H35+K35+N35</f>
        <v>28</v>
      </c>
      <c r="R35" s="19">
        <f>G35+J35+M35+P35</f>
        <v>7136</v>
      </c>
      <c r="S35" s="74"/>
    </row>
    <row r="36" spans="1:19" x14ac:dyDescent="0.25">
      <c r="A36" s="30" t="s">
        <v>690</v>
      </c>
      <c r="B36" s="10"/>
      <c r="C36" s="10"/>
      <c r="D36" s="112" t="s">
        <v>691</v>
      </c>
      <c r="E36" s="51">
        <v>7</v>
      </c>
      <c r="F36" s="17">
        <v>250</v>
      </c>
      <c r="G36" s="27">
        <f t="shared" ref="G36:G37" si="18">ROUND((+E36*F36),0)</f>
        <v>1750</v>
      </c>
      <c r="H36" s="53">
        <v>7</v>
      </c>
      <c r="I36" s="17">
        <f t="shared" ref="I36:I37" si="19">F36</f>
        <v>250</v>
      </c>
      <c r="J36" s="17">
        <f t="shared" ref="J36:J37" si="20">ROUND((+H36*I36),0)</f>
        <v>1750</v>
      </c>
      <c r="K36" s="51">
        <v>7</v>
      </c>
      <c r="L36" s="17">
        <f t="shared" ref="L36:L37" si="21">I36*(1+$B$9)</f>
        <v>257.5</v>
      </c>
      <c r="M36" s="27">
        <f t="shared" ref="M36:M37" si="22">ROUND((+K36*L36),0)</f>
        <v>1803</v>
      </c>
      <c r="N36" s="51">
        <v>7</v>
      </c>
      <c r="O36" s="17">
        <f t="shared" ref="O36:O37" si="23">L36*(1+$B$9)</f>
        <v>265.22500000000002</v>
      </c>
      <c r="P36" s="27">
        <f t="shared" ref="P36:P37" si="24">ROUND((+N36*O36),0)</f>
        <v>1857</v>
      </c>
      <c r="Q36" s="53">
        <f t="shared" ref="Q36:Q37" si="25">E36+H36+K36+N36</f>
        <v>28</v>
      </c>
      <c r="R36" s="19">
        <f>G36+J36+M36+P36</f>
        <v>7160</v>
      </c>
      <c r="S36" s="74"/>
    </row>
    <row r="37" spans="1:19" x14ac:dyDescent="0.25">
      <c r="A37" s="170" t="s">
        <v>692</v>
      </c>
      <c r="B37" s="10"/>
      <c r="C37" s="107" t="s">
        <v>693</v>
      </c>
      <c r="D37" s="114" t="s">
        <v>694</v>
      </c>
      <c r="E37" s="51">
        <f>$B$10*9</f>
        <v>18</v>
      </c>
      <c r="F37" s="17">
        <v>250</v>
      </c>
      <c r="G37" s="27">
        <f t="shared" si="18"/>
        <v>4500</v>
      </c>
      <c r="H37" s="53">
        <f>$B$10*9</f>
        <v>18</v>
      </c>
      <c r="I37" s="17">
        <f t="shared" si="19"/>
        <v>250</v>
      </c>
      <c r="J37" s="17">
        <f t="shared" si="20"/>
        <v>4500</v>
      </c>
      <c r="K37" s="51">
        <f>$B$10*9</f>
        <v>18</v>
      </c>
      <c r="L37" s="17">
        <f t="shared" si="21"/>
        <v>257.5</v>
      </c>
      <c r="M37" s="27">
        <f t="shared" si="22"/>
        <v>4635</v>
      </c>
      <c r="N37" s="51">
        <f>$B$10*9</f>
        <v>18</v>
      </c>
      <c r="O37" s="17">
        <f t="shared" si="23"/>
        <v>265.22500000000002</v>
      </c>
      <c r="P37" s="27">
        <f t="shared" si="24"/>
        <v>4774</v>
      </c>
      <c r="Q37" s="53">
        <f t="shared" si="25"/>
        <v>72</v>
      </c>
      <c r="R37" s="19">
        <f>G37+J37+M37+P37</f>
        <v>18409</v>
      </c>
      <c r="S37" s="74"/>
    </row>
    <row r="38" spans="1:19" x14ac:dyDescent="0.25">
      <c r="A38" s="171"/>
      <c r="B38" s="10"/>
      <c r="C38" s="10"/>
      <c r="D38" s="112"/>
      <c r="E38" s="51"/>
      <c r="F38" s="17"/>
      <c r="G38" s="27"/>
      <c r="H38" s="53"/>
      <c r="I38" s="17"/>
      <c r="J38" s="17"/>
      <c r="K38" s="51"/>
      <c r="L38" s="17"/>
      <c r="M38" s="27"/>
      <c r="N38" s="51"/>
      <c r="O38" s="17"/>
      <c r="P38" s="27"/>
      <c r="Q38" s="53"/>
      <c r="R38" s="19"/>
      <c r="S38" s="73"/>
    </row>
    <row r="39" spans="1:19" x14ac:dyDescent="0.25">
      <c r="A39" s="172" t="s">
        <v>695</v>
      </c>
      <c r="B39" s="18"/>
      <c r="C39" s="18"/>
      <c r="D39" s="115"/>
      <c r="E39" s="51"/>
      <c r="F39" s="32"/>
      <c r="G39" s="49">
        <f>SUM(G35:G38)</f>
        <v>8750</v>
      </c>
      <c r="H39" s="122"/>
      <c r="I39" s="32"/>
      <c r="J39" s="32">
        <f>SUM(J35:J38)</f>
        <v>7750</v>
      </c>
      <c r="K39" s="52"/>
      <c r="L39" s="32"/>
      <c r="M39" s="49">
        <f>SUM(M35:M38)</f>
        <v>7983</v>
      </c>
      <c r="N39" s="52"/>
      <c r="O39" s="32"/>
      <c r="P39" s="49">
        <f>SUM(P35:P38)</f>
        <v>8222</v>
      </c>
      <c r="Q39" s="53"/>
      <c r="R39" s="32">
        <f>SUM(R35:R38)</f>
        <v>32705</v>
      </c>
      <c r="S39" s="73"/>
    </row>
    <row r="40" spans="1:19" x14ac:dyDescent="0.25">
      <c r="A40" s="74"/>
      <c r="B40" s="10"/>
      <c r="C40" s="10"/>
      <c r="D40" s="112"/>
      <c r="E40" s="51"/>
      <c r="F40" s="17"/>
      <c r="G40" s="27"/>
      <c r="H40" s="53"/>
      <c r="I40" s="17"/>
      <c r="J40" s="17"/>
      <c r="K40" s="51"/>
      <c r="L40" s="17"/>
      <c r="M40" s="27"/>
      <c r="N40" s="51" t="s">
        <v>696</v>
      </c>
      <c r="O40" s="17"/>
      <c r="P40" s="27"/>
      <c r="Q40" s="53"/>
      <c r="R40" s="19"/>
      <c r="S40" s="73"/>
    </row>
    <row r="41" spans="1:19" ht="16.5" thickBot="1" x14ac:dyDescent="0.3">
      <c r="A41" s="48" t="s">
        <v>697</v>
      </c>
      <c r="B41" s="13"/>
      <c r="C41" s="13"/>
      <c r="D41" s="113"/>
      <c r="E41" s="65"/>
      <c r="F41" s="21"/>
      <c r="G41" s="46">
        <f>G39+G27</f>
        <v>17150</v>
      </c>
      <c r="H41" s="137"/>
      <c r="I41" s="25"/>
      <c r="J41" s="25">
        <f>J39+J27</f>
        <v>10150</v>
      </c>
      <c r="K41" s="136"/>
      <c r="L41" s="25"/>
      <c r="M41" s="46">
        <f>M39+M27</f>
        <v>10455</v>
      </c>
      <c r="N41" s="136" t="s">
        <v>698</v>
      </c>
      <c r="O41" s="25"/>
      <c r="P41" s="46">
        <f>P39+P27</f>
        <v>10769</v>
      </c>
      <c r="Q41" s="138"/>
      <c r="R41" s="46">
        <f>R39+R27</f>
        <v>48524</v>
      </c>
      <c r="S41" s="73"/>
    </row>
    <row r="42" spans="1:19" ht="16.5" thickTop="1" x14ac:dyDescent="0.25">
      <c r="A42" s="74"/>
      <c r="B42" s="10"/>
      <c r="C42" s="10"/>
      <c r="D42" s="112"/>
      <c r="E42" s="90"/>
      <c r="F42" s="17"/>
      <c r="G42" s="27"/>
      <c r="H42" s="54"/>
      <c r="I42" s="17"/>
      <c r="J42" s="17"/>
      <c r="K42" s="90"/>
      <c r="L42" s="17"/>
      <c r="M42" s="27"/>
      <c r="N42" s="90"/>
      <c r="O42" s="17"/>
      <c r="P42" s="27"/>
      <c r="Q42" s="22"/>
      <c r="R42" s="19"/>
      <c r="S42" s="73"/>
    </row>
    <row r="43" spans="1:19" x14ac:dyDescent="0.25">
      <c r="A43" s="38" t="s">
        <v>699</v>
      </c>
      <c r="B43" s="10"/>
      <c r="C43" s="10"/>
      <c r="D43" s="112"/>
      <c r="E43" s="90"/>
      <c r="F43" s="17"/>
      <c r="G43" s="27"/>
      <c r="H43" s="54"/>
      <c r="I43" s="17"/>
      <c r="J43" s="17" t="s">
        <v>700</v>
      </c>
      <c r="K43" s="90"/>
      <c r="L43" s="17"/>
      <c r="M43" s="27" t="s">
        <v>701</v>
      </c>
      <c r="N43" s="90"/>
      <c r="O43" s="17"/>
      <c r="P43" s="27" t="s">
        <v>702</v>
      </c>
      <c r="Q43" s="22"/>
      <c r="R43" s="19" t="s">
        <v>703</v>
      </c>
      <c r="S43" s="73"/>
    </row>
    <row r="44" spans="1:19" x14ac:dyDescent="0.25">
      <c r="A44" s="30" t="s">
        <v>704</v>
      </c>
      <c r="B44" s="10"/>
      <c r="C44" s="10"/>
      <c r="D44" s="112" t="s">
        <v>705</v>
      </c>
      <c r="E44" s="120">
        <f>$B$7</f>
        <v>0.15</v>
      </c>
      <c r="F44" s="17">
        <f>G27</f>
        <v>8400</v>
      </c>
      <c r="G44" s="27">
        <f t="shared" ref="G44" si="26">ROUND((+E44*F44),0)</f>
        <v>1260</v>
      </c>
      <c r="H44" s="79">
        <f>$B$7</f>
        <v>0.15</v>
      </c>
      <c r="I44" s="17">
        <f>J27</f>
        <v>2400</v>
      </c>
      <c r="J44" s="17">
        <f>ROUND((+H44*I44),0)</f>
        <v>360</v>
      </c>
      <c r="K44" s="120">
        <f>$B$7</f>
        <v>0.15</v>
      </c>
      <c r="L44" s="17">
        <f>M27</f>
        <v>2472</v>
      </c>
      <c r="M44" s="27">
        <f>ROUND((+K44*L44),0)</f>
        <v>371</v>
      </c>
      <c r="N44" s="120">
        <f>$B$7</f>
        <v>0.15</v>
      </c>
      <c r="O44" s="17">
        <f>P27</f>
        <v>2547</v>
      </c>
      <c r="P44" s="27">
        <f>ROUND((+N44*O44),0)</f>
        <v>382</v>
      </c>
      <c r="Q44" s="23"/>
      <c r="R44" s="19">
        <f>G44+J44+M44+P44</f>
        <v>2373</v>
      </c>
      <c r="S44" s="73"/>
    </row>
    <row r="45" spans="1:19" x14ac:dyDescent="0.25">
      <c r="A45" s="30" t="s">
        <v>706</v>
      </c>
      <c r="B45" s="10"/>
      <c r="C45" s="10"/>
      <c r="D45" s="112"/>
      <c r="E45" s="90"/>
      <c r="F45" s="17"/>
      <c r="G45" s="47"/>
      <c r="H45" s="55"/>
      <c r="I45" s="36"/>
      <c r="J45" s="36"/>
      <c r="K45" s="87"/>
      <c r="L45" s="36"/>
      <c r="M45" s="47"/>
      <c r="N45" s="87"/>
      <c r="O45" s="36"/>
      <c r="P45" s="47"/>
      <c r="Q45" s="37"/>
      <c r="R45" s="32"/>
      <c r="S45" s="73"/>
    </row>
    <row r="46" spans="1:19" x14ac:dyDescent="0.25">
      <c r="A46" s="30"/>
      <c r="B46" s="10"/>
      <c r="C46" s="10"/>
      <c r="D46" s="112"/>
      <c r="E46" s="90"/>
      <c r="F46" s="17"/>
      <c r="G46" s="47"/>
      <c r="H46" s="54"/>
      <c r="I46" s="17"/>
      <c r="J46" s="36"/>
      <c r="K46" s="90"/>
      <c r="L46" s="17"/>
      <c r="M46" s="47"/>
      <c r="N46" s="90"/>
      <c r="O46" s="17"/>
      <c r="P46" s="47"/>
      <c r="Q46" s="23"/>
      <c r="R46" s="32"/>
      <c r="S46" s="73"/>
    </row>
    <row r="47" spans="1:19" s="20" customFormat="1" ht="16.5" thickBot="1" x14ac:dyDescent="0.3">
      <c r="A47" s="48" t="s">
        <v>707</v>
      </c>
      <c r="B47" s="24"/>
      <c r="C47" s="24"/>
      <c r="D47" s="116"/>
      <c r="E47" s="91"/>
      <c r="F47" s="25"/>
      <c r="G47" s="46">
        <f>SUM(G44:G46)</f>
        <v>1260</v>
      </c>
      <c r="H47" s="67"/>
      <c r="I47" s="25"/>
      <c r="J47" s="25">
        <f>SUM(J44:J46)</f>
        <v>360</v>
      </c>
      <c r="K47" s="91"/>
      <c r="L47" s="25"/>
      <c r="M47" s="46">
        <f>SUM(M44:M46)</f>
        <v>371</v>
      </c>
      <c r="N47" s="91"/>
      <c r="O47" s="25"/>
      <c r="P47" s="46">
        <f>SUM(P44:P46)</f>
        <v>382</v>
      </c>
      <c r="Q47" s="24"/>
      <c r="R47" s="25">
        <f>SUM(R44:R46)</f>
        <v>2373</v>
      </c>
      <c r="S47" s="75"/>
    </row>
    <row r="48" spans="1:19" ht="16.5" thickTop="1" x14ac:dyDescent="0.25">
      <c r="A48" s="74"/>
      <c r="B48" s="10"/>
      <c r="C48" s="10"/>
      <c r="D48" s="112"/>
      <c r="E48" s="57"/>
      <c r="F48" s="17"/>
      <c r="G48" s="27"/>
      <c r="H48" s="56"/>
      <c r="I48" s="17"/>
      <c r="J48" s="17"/>
      <c r="K48" s="57"/>
      <c r="L48" s="17"/>
      <c r="M48" s="27"/>
      <c r="N48" s="57"/>
      <c r="O48" s="17"/>
      <c r="P48" s="27"/>
      <c r="Q48" s="18"/>
      <c r="R48" s="19"/>
      <c r="S48" s="73"/>
    </row>
    <row r="49" spans="1:21" x14ac:dyDescent="0.25">
      <c r="A49" s="38" t="s">
        <v>708</v>
      </c>
      <c r="B49" s="10"/>
      <c r="C49" s="10"/>
      <c r="D49" s="112"/>
      <c r="E49" s="57"/>
      <c r="F49" s="17"/>
      <c r="G49" s="27"/>
      <c r="H49" s="56"/>
      <c r="I49" s="17"/>
      <c r="J49" s="17"/>
      <c r="K49" s="57"/>
      <c r="L49" s="17"/>
      <c r="M49" s="27"/>
      <c r="N49" s="57"/>
      <c r="O49" s="17"/>
      <c r="P49" s="27"/>
      <c r="Q49" s="18"/>
      <c r="R49" s="19"/>
      <c r="S49" s="73"/>
    </row>
    <row r="50" spans="1:21" x14ac:dyDescent="0.25">
      <c r="A50" s="74"/>
      <c r="B50" s="10"/>
      <c r="C50" s="10"/>
      <c r="D50" s="112"/>
      <c r="E50" s="90"/>
      <c r="F50" s="17"/>
      <c r="G50" s="27"/>
      <c r="H50" s="54"/>
      <c r="I50" s="17"/>
      <c r="J50" s="17"/>
      <c r="K50" s="90"/>
      <c r="L50" s="17"/>
      <c r="M50" s="27"/>
      <c r="N50" s="90"/>
      <c r="O50" s="17"/>
      <c r="P50" s="27"/>
      <c r="Q50" s="29" t="s">
        <v>709</v>
      </c>
      <c r="R50" s="19"/>
      <c r="S50" s="73"/>
    </row>
    <row r="51" spans="1:21" x14ac:dyDescent="0.25">
      <c r="A51" s="38" t="s">
        <v>710</v>
      </c>
      <c r="B51" s="10"/>
      <c r="C51" s="10"/>
      <c r="D51" s="112"/>
      <c r="E51" s="57"/>
      <c r="F51" s="17"/>
      <c r="G51" s="27"/>
      <c r="H51" s="56"/>
      <c r="I51" s="17"/>
      <c r="J51" s="17"/>
      <c r="K51" s="57"/>
      <c r="L51" s="17"/>
      <c r="M51" s="27"/>
      <c r="N51" s="57"/>
      <c r="O51" s="17"/>
      <c r="P51" s="27"/>
      <c r="Q51" s="29" t="s">
        <v>711</v>
      </c>
      <c r="R51" s="19"/>
      <c r="S51" s="73"/>
    </row>
    <row r="52" spans="1:21" x14ac:dyDescent="0.25">
      <c r="A52" s="173" t="s">
        <v>712</v>
      </c>
      <c r="B52" s="16"/>
      <c r="C52" s="10"/>
      <c r="D52" s="112"/>
      <c r="E52" s="57"/>
      <c r="F52" s="17"/>
      <c r="G52" s="27"/>
      <c r="H52" s="56"/>
      <c r="I52" s="17"/>
      <c r="J52" s="17"/>
      <c r="K52" s="57"/>
      <c r="L52" s="17"/>
      <c r="M52" s="27"/>
      <c r="N52" s="57"/>
      <c r="O52" s="17"/>
      <c r="P52" s="27"/>
      <c r="Q52" s="28"/>
      <c r="R52" s="19"/>
      <c r="S52" s="76"/>
    </row>
    <row r="53" spans="1:21" x14ac:dyDescent="0.25">
      <c r="A53" s="26" t="s">
        <v>713</v>
      </c>
      <c r="B53" s="16"/>
      <c r="C53" s="10"/>
      <c r="D53" s="112"/>
      <c r="E53" s="57"/>
      <c r="F53" s="17"/>
      <c r="G53" s="27"/>
      <c r="H53" s="56"/>
      <c r="I53" s="17"/>
      <c r="J53" s="17"/>
      <c r="K53" s="57"/>
      <c r="L53" s="17"/>
      <c r="M53" s="27"/>
      <c r="N53" s="57"/>
      <c r="O53" s="17"/>
      <c r="P53" s="27"/>
      <c r="Q53" s="28"/>
      <c r="R53" s="19"/>
      <c r="S53" s="76"/>
    </row>
    <row r="54" spans="1:21" x14ac:dyDescent="0.25">
      <c r="A54" s="30" t="s">
        <v>714</v>
      </c>
      <c r="B54" s="16"/>
      <c r="C54" s="10"/>
      <c r="D54" s="112" t="s">
        <v>715</v>
      </c>
      <c r="E54" s="57">
        <v>1</v>
      </c>
      <c r="F54" s="17">
        <v>1000</v>
      </c>
      <c r="G54" s="27">
        <f t="shared" ref="G54:G56" si="27">ROUND((+E54*F54),0)</f>
        <v>1000</v>
      </c>
      <c r="H54" s="56"/>
      <c r="I54" s="17">
        <f t="shared" ref="I54:I56" si="28">F54</f>
        <v>1000</v>
      </c>
      <c r="J54" s="17">
        <f t="shared" ref="J54:J56" si="29">ROUND((+H54*I54),0)</f>
        <v>0</v>
      </c>
      <c r="K54" s="57"/>
      <c r="L54" s="17">
        <f t="shared" ref="L54:L56" si="30">I54*(1+$B$9)</f>
        <v>1030</v>
      </c>
      <c r="M54" s="27">
        <f t="shared" ref="M54:M56" si="31">ROUND((+K54*L54),0)</f>
        <v>0</v>
      </c>
      <c r="N54" s="57"/>
      <c r="O54" s="17">
        <f t="shared" ref="O54:O56" si="32">L54*(1+$B$9)</f>
        <v>1060.9000000000001</v>
      </c>
      <c r="P54" s="27">
        <f t="shared" ref="P54:P56" si="33">ROUND((+N54*O54),0)</f>
        <v>0</v>
      </c>
      <c r="Q54" s="53">
        <f t="shared" ref="Q54:Q56" si="34">E54+H54+K54+N54</f>
        <v>1</v>
      </c>
      <c r="R54" s="19">
        <f>G54+J54+M54+P54</f>
        <v>1000</v>
      </c>
      <c r="S54" s="76"/>
    </row>
    <row r="55" spans="1:21" x14ac:dyDescent="0.25">
      <c r="A55" s="30" t="s">
        <v>716</v>
      </c>
      <c r="B55" s="10"/>
      <c r="C55" s="10"/>
      <c r="D55" s="112" t="s">
        <v>717</v>
      </c>
      <c r="E55" s="57">
        <v>8</v>
      </c>
      <c r="F55" s="17">
        <v>250</v>
      </c>
      <c r="G55" s="27">
        <f t="shared" si="27"/>
        <v>2000</v>
      </c>
      <c r="H55" s="56"/>
      <c r="I55" s="17">
        <f t="shared" si="28"/>
        <v>250</v>
      </c>
      <c r="J55" s="17">
        <f t="shared" si="29"/>
        <v>0</v>
      </c>
      <c r="K55" s="57"/>
      <c r="L55" s="17">
        <f t="shared" si="30"/>
        <v>257.5</v>
      </c>
      <c r="M55" s="27">
        <f t="shared" si="31"/>
        <v>0</v>
      </c>
      <c r="N55" s="57"/>
      <c r="O55" s="17">
        <f t="shared" si="32"/>
        <v>265.22500000000002</v>
      </c>
      <c r="P55" s="27">
        <f t="shared" si="33"/>
        <v>0</v>
      </c>
      <c r="Q55" s="53">
        <f t="shared" si="34"/>
        <v>8</v>
      </c>
      <c r="R55" s="19">
        <f>G55+J55+M55+P55</f>
        <v>2000</v>
      </c>
      <c r="S55" s="75"/>
      <c r="T55" s="3"/>
      <c r="U55" s="1"/>
    </row>
    <row r="56" spans="1:21" x14ac:dyDescent="0.25">
      <c r="A56" s="30" t="s">
        <v>718</v>
      </c>
      <c r="B56" s="10"/>
      <c r="C56" s="10"/>
      <c r="D56" s="112" t="s">
        <v>719</v>
      </c>
      <c r="E56" s="57">
        <v>1</v>
      </c>
      <c r="F56" s="17">
        <v>200</v>
      </c>
      <c r="G56" s="27">
        <f t="shared" si="27"/>
        <v>200</v>
      </c>
      <c r="H56" s="56"/>
      <c r="I56" s="17">
        <f t="shared" si="28"/>
        <v>200</v>
      </c>
      <c r="J56" s="17">
        <f t="shared" si="29"/>
        <v>0</v>
      </c>
      <c r="K56" s="57"/>
      <c r="L56" s="17">
        <f t="shared" si="30"/>
        <v>206</v>
      </c>
      <c r="M56" s="27">
        <f t="shared" si="31"/>
        <v>0</v>
      </c>
      <c r="N56" s="57"/>
      <c r="O56" s="17">
        <f t="shared" si="32"/>
        <v>212.18</v>
      </c>
      <c r="P56" s="27">
        <f t="shared" si="33"/>
        <v>0</v>
      </c>
      <c r="Q56" s="53">
        <f t="shared" si="34"/>
        <v>1</v>
      </c>
      <c r="R56" s="19">
        <f>G56+J56+M56+P56</f>
        <v>200</v>
      </c>
      <c r="S56" s="75"/>
      <c r="T56" s="3"/>
      <c r="U56" s="1"/>
    </row>
    <row r="57" spans="1:21" ht="18.75" x14ac:dyDescent="0.25">
      <c r="A57" s="26" t="s">
        <v>720</v>
      </c>
      <c r="B57" s="16"/>
      <c r="C57" s="10"/>
      <c r="D57" s="112"/>
      <c r="E57" s="57"/>
      <c r="F57" s="17"/>
      <c r="G57" s="27"/>
      <c r="H57" s="56"/>
      <c r="I57" s="17"/>
      <c r="J57" s="17"/>
      <c r="K57" s="57"/>
      <c r="L57" s="17"/>
      <c r="M57" s="27"/>
      <c r="N57" s="57"/>
      <c r="O57" s="17"/>
      <c r="P57" s="27"/>
      <c r="Q57" s="53"/>
      <c r="R57" s="19"/>
      <c r="S57" s="76"/>
    </row>
    <row r="58" spans="1:21" x14ac:dyDescent="0.25">
      <c r="A58" s="30" t="s">
        <v>721</v>
      </c>
      <c r="B58" s="16"/>
      <c r="C58" s="10"/>
      <c r="D58" s="112" t="s">
        <v>722</v>
      </c>
      <c r="E58" s="57"/>
      <c r="F58" s="17">
        <v>1000</v>
      </c>
      <c r="G58" s="27">
        <f t="shared" ref="G58:G64" si="35">ROUND((+E58*F58),0)</f>
        <v>0</v>
      </c>
      <c r="H58" s="56"/>
      <c r="I58" s="17">
        <f t="shared" ref="I58:I60" si="36">F58</f>
        <v>1000</v>
      </c>
      <c r="J58" s="17">
        <f t="shared" ref="J58:J60" si="37">ROUND((+H58*I58),0)</f>
        <v>0</v>
      </c>
      <c r="K58" s="57"/>
      <c r="L58" s="17">
        <f t="shared" ref="L58:L60" si="38">I58*(1+$B$9)</f>
        <v>1030</v>
      </c>
      <c r="M58" s="27">
        <f t="shared" ref="M58:M60" si="39">ROUND((+K58*L58),0)</f>
        <v>0</v>
      </c>
      <c r="N58" s="57">
        <v>0</v>
      </c>
      <c r="O58" s="17">
        <f t="shared" ref="O58:O60" si="40">L58*(1+$B$9)</f>
        <v>1060.9000000000001</v>
      </c>
      <c r="P58" s="27">
        <f t="shared" ref="P58:P60" si="41">ROUND((+N58*O58),0)</f>
        <v>0</v>
      </c>
      <c r="Q58" s="53">
        <f t="shared" ref="Q58:Q60" si="42">E58+H58+K58+N58</f>
        <v>0</v>
      </c>
      <c r="R58" s="19">
        <f>G58+J58+M58+P58</f>
        <v>0</v>
      </c>
      <c r="S58" s="76"/>
    </row>
    <row r="59" spans="1:21" x14ac:dyDescent="0.25">
      <c r="A59" s="30" t="s">
        <v>723</v>
      </c>
      <c r="B59" s="10"/>
      <c r="C59" s="10"/>
      <c r="D59" s="112" t="s">
        <v>724</v>
      </c>
      <c r="E59" s="57"/>
      <c r="F59" s="17">
        <v>250</v>
      </c>
      <c r="G59" s="27">
        <f t="shared" si="35"/>
        <v>0</v>
      </c>
      <c r="H59" s="56"/>
      <c r="I59" s="17">
        <f t="shared" si="36"/>
        <v>250</v>
      </c>
      <c r="J59" s="17">
        <f t="shared" si="37"/>
        <v>0</v>
      </c>
      <c r="K59" s="57"/>
      <c r="L59" s="17">
        <f t="shared" si="38"/>
        <v>257.5</v>
      </c>
      <c r="M59" s="27">
        <f t="shared" si="39"/>
        <v>0</v>
      </c>
      <c r="N59" s="57">
        <v>0</v>
      </c>
      <c r="O59" s="17">
        <f t="shared" si="40"/>
        <v>265.22500000000002</v>
      </c>
      <c r="P59" s="27">
        <f t="shared" si="41"/>
        <v>0</v>
      </c>
      <c r="Q59" s="53">
        <f t="shared" si="42"/>
        <v>0</v>
      </c>
      <c r="R59" s="19">
        <f>G59+J59+M59+P59</f>
        <v>0</v>
      </c>
      <c r="S59" s="75"/>
      <c r="T59" s="3"/>
      <c r="U59" s="1"/>
    </row>
    <row r="60" spans="1:21" x14ac:dyDescent="0.25">
      <c r="A60" s="30" t="s">
        <v>725</v>
      </c>
      <c r="B60" s="10"/>
      <c r="C60" s="10"/>
      <c r="D60" s="112" t="s">
        <v>726</v>
      </c>
      <c r="E60" s="57"/>
      <c r="F60" s="17">
        <v>200</v>
      </c>
      <c r="G60" s="27">
        <f t="shared" si="35"/>
        <v>0</v>
      </c>
      <c r="H60" s="56"/>
      <c r="I60" s="17">
        <f t="shared" si="36"/>
        <v>200</v>
      </c>
      <c r="J60" s="17">
        <f t="shared" si="37"/>
        <v>0</v>
      </c>
      <c r="K60" s="57"/>
      <c r="L60" s="17">
        <f t="shared" si="38"/>
        <v>206</v>
      </c>
      <c r="M60" s="27">
        <f t="shared" si="39"/>
        <v>0</v>
      </c>
      <c r="N60" s="57">
        <v>0</v>
      </c>
      <c r="O60" s="17">
        <f t="shared" si="40"/>
        <v>212.18</v>
      </c>
      <c r="P60" s="27">
        <f t="shared" si="41"/>
        <v>0</v>
      </c>
      <c r="Q60" s="53">
        <f t="shared" si="42"/>
        <v>0</v>
      </c>
      <c r="R60" s="19">
        <f>G60+J60+M60+P60</f>
        <v>0</v>
      </c>
      <c r="S60" s="75"/>
      <c r="T60" s="3"/>
      <c r="U60" s="1"/>
    </row>
    <row r="61" spans="1:21" x14ac:dyDescent="0.25">
      <c r="A61" s="173" t="s">
        <v>727</v>
      </c>
      <c r="B61" s="10"/>
      <c r="C61" s="10"/>
      <c r="D61" s="112"/>
      <c r="E61" s="57"/>
      <c r="F61" s="17"/>
      <c r="G61" s="27"/>
      <c r="H61" s="56"/>
      <c r="I61" s="17"/>
      <c r="J61" s="17"/>
      <c r="K61" s="57"/>
      <c r="L61" s="17"/>
      <c r="M61" s="27"/>
      <c r="N61" s="57"/>
      <c r="O61" s="17"/>
      <c r="P61" s="27"/>
      <c r="Q61" s="53"/>
      <c r="R61" s="19"/>
      <c r="S61" s="75"/>
      <c r="T61" s="3"/>
      <c r="U61" s="1"/>
    </row>
    <row r="62" spans="1:21" s="39" customFormat="1" x14ac:dyDescent="0.25">
      <c r="A62" s="174" t="s">
        <v>728</v>
      </c>
      <c r="B62" s="162"/>
      <c r="C62" s="162"/>
      <c r="D62" s="163" t="s">
        <v>729</v>
      </c>
      <c r="E62" s="66">
        <v>0</v>
      </c>
      <c r="F62" s="36">
        <v>1000</v>
      </c>
      <c r="G62" s="47">
        <f t="shared" ref="G62" si="43">ROUND((+E62*F62),0)</f>
        <v>0</v>
      </c>
      <c r="H62" s="62">
        <v>0</v>
      </c>
      <c r="I62" s="36">
        <f t="shared" ref="I62:I64" si="44">F62</f>
        <v>1000</v>
      </c>
      <c r="J62" s="36">
        <f t="shared" ref="J62:J64" si="45">ROUND((+H62*I62),0)</f>
        <v>0</v>
      </c>
      <c r="K62" s="66">
        <v>0</v>
      </c>
      <c r="L62" s="36">
        <f t="shared" ref="L62:L64" si="46">I62*(1+$B$9)</f>
        <v>1030</v>
      </c>
      <c r="M62" s="47">
        <f t="shared" ref="M62:M64" si="47">ROUND((+K62*L62),0)</f>
        <v>0</v>
      </c>
      <c r="N62" s="66">
        <v>0</v>
      </c>
      <c r="O62" s="36">
        <f t="shared" ref="O62:O64" si="48">L62*(1+$B$9)</f>
        <v>1060.9000000000001</v>
      </c>
      <c r="P62" s="47">
        <f t="shared" ref="P62:P64" si="49">ROUND((+N62*O62),0)</f>
        <v>0</v>
      </c>
      <c r="Q62" s="122">
        <f t="shared" ref="Q62:Q64" si="50">E62+H62+K62+N62</f>
        <v>0</v>
      </c>
      <c r="R62" s="32">
        <f>G62+J62+M62+P62</f>
        <v>0</v>
      </c>
      <c r="S62" s="77"/>
      <c r="T62" s="164"/>
      <c r="U62" s="165"/>
    </row>
    <row r="63" spans="1:21" s="39" customFormat="1" x14ac:dyDescent="0.25">
      <c r="A63" s="174" t="s">
        <v>730</v>
      </c>
      <c r="B63" s="162"/>
      <c r="C63" s="162"/>
      <c r="D63" s="163" t="s">
        <v>731</v>
      </c>
      <c r="E63" s="66">
        <v>0</v>
      </c>
      <c r="F63" s="36">
        <v>250</v>
      </c>
      <c r="G63" s="47">
        <f t="shared" si="35"/>
        <v>0</v>
      </c>
      <c r="H63" s="62">
        <v>0</v>
      </c>
      <c r="I63" s="36">
        <f t="shared" si="44"/>
        <v>250</v>
      </c>
      <c r="J63" s="36">
        <f t="shared" si="45"/>
        <v>0</v>
      </c>
      <c r="K63" s="66">
        <v>0</v>
      </c>
      <c r="L63" s="36">
        <f t="shared" si="46"/>
        <v>257.5</v>
      </c>
      <c r="M63" s="47">
        <f t="shared" si="47"/>
        <v>0</v>
      </c>
      <c r="N63" s="66">
        <v>0</v>
      </c>
      <c r="O63" s="36">
        <f t="shared" si="48"/>
        <v>265.22500000000002</v>
      </c>
      <c r="P63" s="47">
        <f t="shared" si="49"/>
        <v>0</v>
      </c>
      <c r="Q63" s="122">
        <f t="shared" si="50"/>
        <v>0</v>
      </c>
      <c r="R63" s="32">
        <f>G63+J63+M63+P63</f>
        <v>0</v>
      </c>
      <c r="S63" s="77"/>
      <c r="T63" s="164"/>
      <c r="U63" s="165"/>
    </row>
    <row r="64" spans="1:21" s="39" customFormat="1" x14ac:dyDescent="0.25">
      <c r="A64" s="174" t="s">
        <v>732</v>
      </c>
      <c r="B64" s="162"/>
      <c r="C64" s="162"/>
      <c r="D64" s="163" t="s">
        <v>733</v>
      </c>
      <c r="E64" s="66">
        <v>0</v>
      </c>
      <c r="F64" s="36">
        <v>200</v>
      </c>
      <c r="G64" s="47">
        <f t="shared" si="35"/>
        <v>0</v>
      </c>
      <c r="H64" s="62">
        <v>0</v>
      </c>
      <c r="I64" s="36">
        <f t="shared" si="44"/>
        <v>200</v>
      </c>
      <c r="J64" s="36">
        <f t="shared" si="45"/>
        <v>0</v>
      </c>
      <c r="K64" s="66">
        <v>0</v>
      </c>
      <c r="L64" s="36">
        <f t="shared" si="46"/>
        <v>206</v>
      </c>
      <c r="M64" s="47">
        <f t="shared" si="47"/>
        <v>0</v>
      </c>
      <c r="N64" s="66">
        <v>0</v>
      </c>
      <c r="O64" s="36">
        <f t="shared" si="48"/>
        <v>212.18</v>
      </c>
      <c r="P64" s="47">
        <f t="shared" si="49"/>
        <v>0</v>
      </c>
      <c r="Q64" s="122">
        <f t="shared" si="50"/>
        <v>0</v>
      </c>
      <c r="R64" s="32">
        <f>G64+J64+M64+P64</f>
        <v>0</v>
      </c>
      <c r="S64" s="77"/>
      <c r="T64" s="164"/>
      <c r="U64" s="165"/>
    </row>
    <row r="65" spans="1:21" x14ac:dyDescent="0.25">
      <c r="A65" s="74"/>
      <c r="B65" s="10"/>
      <c r="C65" s="10"/>
      <c r="D65" s="112"/>
      <c r="E65" s="57"/>
      <c r="F65" s="17"/>
      <c r="G65" s="27"/>
      <c r="H65" s="56"/>
      <c r="I65" s="17"/>
      <c r="J65" s="17"/>
      <c r="K65" s="57"/>
      <c r="L65" s="17"/>
      <c r="M65" s="27"/>
      <c r="N65" s="57"/>
      <c r="O65" s="17"/>
      <c r="P65" s="27"/>
      <c r="Q65" s="53"/>
      <c r="R65" s="19"/>
      <c r="S65" s="73"/>
    </row>
    <row r="66" spans="1:21" s="20" customFormat="1" x14ac:dyDescent="0.25">
      <c r="A66" s="172" t="s">
        <v>734</v>
      </c>
      <c r="B66" s="18"/>
      <c r="C66" s="18"/>
      <c r="D66" s="115"/>
      <c r="E66" s="83"/>
      <c r="F66" s="19"/>
      <c r="G66" s="96">
        <f>SUM(G51:G65)</f>
        <v>3200</v>
      </c>
      <c r="H66" s="58"/>
      <c r="I66" s="19"/>
      <c r="J66" s="19">
        <f>SUM(J51:J65)</f>
        <v>0</v>
      </c>
      <c r="K66" s="83"/>
      <c r="L66" s="19"/>
      <c r="M66" s="96">
        <f>SUM(M51:M65)</f>
        <v>0</v>
      </c>
      <c r="N66" s="83"/>
      <c r="O66" s="19"/>
      <c r="P66" s="96">
        <f>SUM(P51:P65)</f>
        <v>0</v>
      </c>
      <c r="Q66" s="18"/>
      <c r="R66" s="19">
        <f>SUM(R51:R65)</f>
        <v>3200</v>
      </c>
      <c r="S66" s="75"/>
    </row>
    <row r="67" spans="1:21" x14ac:dyDescent="0.25">
      <c r="A67" s="74"/>
      <c r="B67" s="10"/>
      <c r="C67" s="10"/>
      <c r="D67" s="112"/>
      <c r="E67" s="57"/>
      <c r="F67" s="17"/>
      <c r="G67" s="100"/>
      <c r="H67" s="56"/>
      <c r="I67" s="17"/>
      <c r="J67" s="17"/>
      <c r="K67" s="57"/>
      <c r="L67" s="17"/>
      <c r="M67" s="27"/>
      <c r="N67" s="57"/>
      <c r="O67" s="17"/>
      <c r="P67" s="27"/>
      <c r="Q67" s="18"/>
      <c r="R67" s="71"/>
      <c r="S67" s="73"/>
    </row>
    <row r="68" spans="1:21" x14ac:dyDescent="0.25">
      <c r="A68" s="38" t="s">
        <v>735</v>
      </c>
      <c r="B68" s="10"/>
      <c r="C68" s="10"/>
      <c r="D68" s="112"/>
      <c r="E68" s="57"/>
      <c r="F68" s="17"/>
      <c r="G68" s="27"/>
      <c r="H68" s="56"/>
      <c r="I68" s="17"/>
      <c r="J68" s="17"/>
      <c r="K68" s="57"/>
      <c r="L68" s="17"/>
      <c r="M68" s="27"/>
      <c r="N68" s="57"/>
      <c r="O68" s="17"/>
      <c r="P68" s="27"/>
      <c r="Q68" s="29" t="s">
        <v>736</v>
      </c>
      <c r="R68" s="19"/>
      <c r="S68" s="73"/>
    </row>
    <row r="69" spans="1:21" x14ac:dyDescent="0.25">
      <c r="A69" s="173" t="s">
        <v>737</v>
      </c>
      <c r="B69" s="10"/>
      <c r="C69" s="10"/>
      <c r="D69" s="112"/>
      <c r="E69" s="57"/>
      <c r="F69" s="17"/>
      <c r="G69" s="27"/>
      <c r="H69" s="56"/>
      <c r="I69" s="17"/>
      <c r="J69" s="17"/>
      <c r="K69" s="57"/>
      <c r="L69" s="17"/>
      <c r="M69" s="27"/>
      <c r="N69" s="57"/>
      <c r="O69" s="17"/>
      <c r="P69" s="27"/>
      <c r="Q69" s="29"/>
      <c r="R69" s="19"/>
      <c r="S69" s="73"/>
    </row>
    <row r="70" spans="1:21" x14ac:dyDescent="0.25">
      <c r="A70" s="26" t="s">
        <v>738</v>
      </c>
      <c r="B70" s="10"/>
      <c r="C70" s="10"/>
      <c r="D70" s="112"/>
      <c r="E70" s="57"/>
      <c r="F70" s="17"/>
      <c r="G70" s="27"/>
      <c r="H70" s="56"/>
      <c r="I70" s="17"/>
      <c r="J70" s="17"/>
      <c r="K70" s="57"/>
      <c r="L70" s="17"/>
      <c r="M70" s="27"/>
      <c r="N70" s="57"/>
      <c r="O70" s="17"/>
      <c r="P70" s="27"/>
      <c r="Q70" s="29"/>
      <c r="R70" s="19"/>
      <c r="S70" s="73"/>
    </row>
    <row r="71" spans="1:21" x14ac:dyDescent="0.25">
      <c r="A71" s="30" t="s">
        <v>739</v>
      </c>
      <c r="B71" s="10"/>
      <c r="C71" s="10"/>
      <c r="D71" s="112" t="s">
        <v>740</v>
      </c>
      <c r="E71" s="57">
        <v>10</v>
      </c>
      <c r="F71" s="17">
        <v>50</v>
      </c>
      <c r="G71" s="27">
        <f t="shared" ref="G71" si="51">ROUND((+E71*F71),0)</f>
        <v>500</v>
      </c>
      <c r="H71" s="56"/>
      <c r="I71" s="17">
        <f>F71</f>
        <v>50</v>
      </c>
      <c r="J71" s="17">
        <f>ROUND((+H71*I71),0)</f>
        <v>0</v>
      </c>
      <c r="K71" s="57"/>
      <c r="L71" s="17">
        <f>I71*(1+$B$9)</f>
        <v>51.5</v>
      </c>
      <c r="M71" s="27">
        <f>ROUND((+K71*L71),0)</f>
        <v>0</v>
      </c>
      <c r="N71" s="57"/>
      <c r="O71" s="17">
        <f>L71*(1+$B$9)</f>
        <v>53.045000000000002</v>
      </c>
      <c r="P71" s="27">
        <f>ROUND((+N71*O71),0)</f>
        <v>0</v>
      </c>
      <c r="Q71" s="53">
        <f>E71+H71+K71+N71</f>
        <v>10</v>
      </c>
      <c r="R71" s="19">
        <f>G71+J71+M71+P71</f>
        <v>500</v>
      </c>
      <c r="S71" s="73"/>
    </row>
    <row r="72" spans="1:21" ht="18.75" x14ac:dyDescent="0.25">
      <c r="A72" s="26" t="s">
        <v>741</v>
      </c>
      <c r="B72" s="10"/>
      <c r="C72" s="10"/>
      <c r="D72" s="112"/>
      <c r="E72" s="57"/>
      <c r="F72" s="17"/>
      <c r="G72" s="27"/>
      <c r="H72" s="56"/>
      <c r="I72" s="17"/>
      <c r="J72" s="17"/>
      <c r="K72" s="57"/>
      <c r="L72" s="17"/>
      <c r="M72" s="27"/>
      <c r="N72" s="57"/>
      <c r="O72" s="17"/>
      <c r="P72" s="27"/>
      <c r="Q72" s="53"/>
      <c r="R72" s="19"/>
      <c r="S72" s="73"/>
    </row>
    <row r="73" spans="1:21" x14ac:dyDescent="0.25">
      <c r="A73" s="30" t="s">
        <v>742</v>
      </c>
      <c r="B73" s="10"/>
      <c r="C73" s="10"/>
      <c r="D73" s="112" t="s">
        <v>743</v>
      </c>
      <c r="E73" s="57"/>
      <c r="F73" s="17">
        <v>50</v>
      </c>
      <c r="G73" s="27">
        <f t="shared" ref="G73" si="52">ROUND((+E73*F73),0)</f>
        <v>0</v>
      </c>
      <c r="H73" s="56"/>
      <c r="I73" s="17">
        <f>F73</f>
        <v>50</v>
      </c>
      <c r="J73" s="17">
        <f>ROUND((+H73*I73),0)</f>
        <v>0</v>
      </c>
      <c r="K73" s="57"/>
      <c r="L73" s="17">
        <f>I73*(1+$B$9)</f>
        <v>51.5</v>
      </c>
      <c r="M73" s="27">
        <f>ROUND((+K73*L73),0)</f>
        <v>0</v>
      </c>
      <c r="N73" s="57">
        <v>3</v>
      </c>
      <c r="O73" s="17">
        <f>L73*(1+$B$9)</f>
        <v>53.045000000000002</v>
      </c>
      <c r="P73" s="27">
        <f>ROUND((+N73*O73),0)</f>
        <v>159</v>
      </c>
      <c r="Q73" s="53">
        <f>E73+H73+K73+N73</f>
        <v>3</v>
      </c>
      <c r="R73" s="19">
        <f>G73+J73+M73+P73</f>
        <v>159</v>
      </c>
      <c r="S73" s="73"/>
    </row>
    <row r="74" spans="1:21" x14ac:dyDescent="0.25">
      <c r="A74" s="173" t="s">
        <v>744</v>
      </c>
      <c r="B74" s="10"/>
      <c r="C74" s="10"/>
      <c r="D74" s="112"/>
      <c r="E74" s="57"/>
      <c r="F74" s="17"/>
      <c r="G74" s="27"/>
      <c r="H74" s="56"/>
      <c r="I74" s="17"/>
      <c r="J74" s="17"/>
      <c r="K74" s="57"/>
      <c r="L74" s="17"/>
      <c r="M74" s="27"/>
      <c r="N74" s="57"/>
      <c r="O74" s="17"/>
      <c r="P74" s="27"/>
      <c r="Q74" s="53"/>
      <c r="R74" s="19"/>
      <c r="S74" s="73"/>
    </row>
    <row r="75" spans="1:21" x14ac:dyDescent="0.25">
      <c r="A75" s="30" t="s">
        <v>745</v>
      </c>
      <c r="B75" s="10"/>
      <c r="C75" s="10"/>
      <c r="D75" s="112" t="s">
        <v>746</v>
      </c>
      <c r="E75" s="57">
        <v>7</v>
      </c>
      <c r="F75" s="17">
        <v>50</v>
      </c>
      <c r="G75" s="27">
        <f t="shared" ref="G75" si="53">ROUND((+E75*F75),0)</f>
        <v>350</v>
      </c>
      <c r="H75" s="56">
        <v>7</v>
      </c>
      <c r="I75" s="17">
        <f>F75</f>
        <v>50</v>
      </c>
      <c r="J75" s="17">
        <f>ROUND((+H75*I75),0)</f>
        <v>350</v>
      </c>
      <c r="K75" s="57">
        <v>7</v>
      </c>
      <c r="L75" s="17">
        <f>I75*(1+$B$9)</f>
        <v>51.5</v>
      </c>
      <c r="M75" s="27">
        <f>ROUND((+K75*L75),0)</f>
        <v>361</v>
      </c>
      <c r="N75" s="57">
        <v>7</v>
      </c>
      <c r="O75" s="17">
        <f>L75*(1+$B$9)</f>
        <v>53.045000000000002</v>
      </c>
      <c r="P75" s="27">
        <f>ROUND((+N75*O75),0)</f>
        <v>371</v>
      </c>
      <c r="Q75" s="53">
        <f>E75+H75+K75+N75</f>
        <v>28</v>
      </c>
      <c r="R75" s="19">
        <f>G75+J75+M75+P75</f>
        <v>1432</v>
      </c>
      <c r="S75" s="73"/>
    </row>
    <row r="76" spans="1:21" x14ac:dyDescent="0.25">
      <c r="A76" s="173" t="s">
        <v>747</v>
      </c>
      <c r="B76" s="10"/>
      <c r="C76" s="10"/>
      <c r="D76" s="112"/>
      <c r="E76" s="57"/>
      <c r="F76" s="17"/>
      <c r="G76" s="27"/>
      <c r="H76" s="56"/>
      <c r="I76" s="17"/>
      <c r="J76" s="17"/>
      <c r="K76" s="57"/>
      <c r="L76" s="17"/>
      <c r="M76" s="27"/>
      <c r="N76" s="57"/>
      <c r="O76" s="17"/>
      <c r="P76" s="27"/>
      <c r="Q76" s="53"/>
      <c r="R76" s="19"/>
      <c r="S76" s="75"/>
      <c r="T76" s="3"/>
      <c r="U76" s="1"/>
    </row>
    <row r="77" spans="1:21" x14ac:dyDescent="0.25">
      <c r="A77" s="170" t="s">
        <v>748</v>
      </c>
      <c r="B77" s="10"/>
      <c r="C77" s="107" t="s">
        <v>749</v>
      </c>
      <c r="D77" s="114" t="s">
        <v>750</v>
      </c>
      <c r="E77" s="57">
        <f>$B$10*14</f>
        <v>28</v>
      </c>
      <c r="F77" s="17">
        <v>150</v>
      </c>
      <c r="G77" s="27">
        <f t="shared" ref="G77:G79" si="54">ROUND((+E77*F77),0)</f>
        <v>4200</v>
      </c>
      <c r="H77" s="56">
        <f>$B$10*14</f>
        <v>28</v>
      </c>
      <c r="I77" s="17">
        <f t="shared" ref="I77:I79" si="55">F77</f>
        <v>150</v>
      </c>
      <c r="J77" s="17">
        <f t="shared" ref="J77:J79" si="56">ROUND((+H77*I77),0)</f>
        <v>4200</v>
      </c>
      <c r="K77" s="57">
        <f>$B$10*14</f>
        <v>28</v>
      </c>
      <c r="L77" s="17">
        <f t="shared" ref="L77:L79" si="57">I77*(1+$B$9)</f>
        <v>154.5</v>
      </c>
      <c r="M77" s="27">
        <f t="shared" ref="M77:M79" si="58">ROUND((+K77*L77),0)</f>
        <v>4326</v>
      </c>
      <c r="N77" s="57">
        <f>$B$10*14</f>
        <v>28</v>
      </c>
      <c r="O77" s="17">
        <f t="shared" ref="O77:O79" si="59">L77*(1+$B$9)</f>
        <v>159.13499999999999</v>
      </c>
      <c r="P77" s="27">
        <f t="shared" ref="P77:P79" si="60">ROUND((+N77*O77),0)</f>
        <v>4456</v>
      </c>
      <c r="Q77" s="53">
        <f t="shared" ref="Q77" si="61">E77+H77+K77+N77</f>
        <v>112</v>
      </c>
      <c r="R77" s="19">
        <f>G77+J77+M77+P77</f>
        <v>17182</v>
      </c>
      <c r="S77" s="74"/>
      <c r="T77" s="3"/>
      <c r="U77" s="1"/>
    </row>
    <row r="78" spans="1:21" x14ac:dyDescent="0.25">
      <c r="A78" s="170" t="s">
        <v>751</v>
      </c>
      <c r="B78" s="107"/>
      <c r="C78" s="107" t="s">
        <v>752</v>
      </c>
      <c r="D78" s="114" t="s">
        <v>753</v>
      </c>
      <c r="E78" s="57">
        <f>$B$10*2</f>
        <v>4</v>
      </c>
      <c r="F78" s="17">
        <v>500</v>
      </c>
      <c r="G78" s="27">
        <f t="shared" si="54"/>
        <v>2000</v>
      </c>
      <c r="H78" s="56">
        <f>$B$10*2</f>
        <v>4</v>
      </c>
      <c r="I78" s="17">
        <f t="shared" si="55"/>
        <v>500</v>
      </c>
      <c r="J78" s="17">
        <f t="shared" si="56"/>
        <v>2000</v>
      </c>
      <c r="K78" s="57">
        <f>$B$10*2</f>
        <v>4</v>
      </c>
      <c r="L78" s="17">
        <f t="shared" si="57"/>
        <v>515</v>
      </c>
      <c r="M78" s="27">
        <f t="shared" si="58"/>
        <v>2060</v>
      </c>
      <c r="N78" s="57">
        <f>$B$10*2</f>
        <v>4</v>
      </c>
      <c r="O78" s="17">
        <f t="shared" si="59"/>
        <v>530.45000000000005</v>
      </c>
      <c r="P78" s="27">
        <f t="shared" si="60"/>
        <v>2122</v>
      </c>
      <c r="Q78" s="53">
        <f>E78+H78+K78+N78</f>
        <v>16</v>
      </c>
      <c r="R78" s="19">
        <f>G78+J78+M78+P78</f>
        <v>8182</v>
      </c>
      <c r="S78" s="73"/>
    </row>
    <row r="79" spans="1:21" x14ac:dyDescent="0.25">
      <c r="A79" s="170" t="s">
        <v>754</v>
      </c>
      <c r="B79" s="107"/>
      <c r="C79" s="107" t="s">
        <v>755</v>
      </c>
      <c r="D79" s="114" t="s">
        <v>756</v>
      </c>
      <c r="E79" s="57">
        <f>$B$10*14</f>
        <v>28</v>
      </c>
      <c r="F79" s="17">
        <v>50</v>
      </c>
      <c r="G79" s="27">
        <f t="shared" si="54"/>
        <v>1400</v>
      </c>
      <c r="H79" s="56">
        <f>$B$10*14</f>
        <v>28</v>
      </c>
      <c r="I79" s="17">
        <f t="shared" si="55"/>
        <v>50</v>
      </c>
      <c r="J79" s="17">
        <f t="shared" si="56"/>
        <v>1400</v>
      </c>
      <c r="K79" s="57">
        <f>$B$10*14</f>
        <v>28</v>
      </c>
      <c r="L79" s="17">
        <f t="shared" si="57"/>
        <v>51.5</v>
      </c>
      <c r="M79" s="27">
        <f t="shared" si="58"/>
        <v>1442</v>
      </c>
      <c r="N79" s="57">
        <f>$B$10*14</f>
        <v>28</v>
      </c>
      <c r="O79" s="17">
        <f t="shared" si="59"/>
        <v>53.045000000000002</v>
      </c>
      <c r="P79" s="27">
        <f t="shared" si="60"/>
        <v>1485</v>
      </c>
      <c r="Q79" s="53">
        <f>E79+H79+K79+N79</f>
        <v>112</v>
      </c>
      <c r="R79" s="19">
        <f>G79+J79+M79+P79</f>
        <v>5727</v>
      </c>
      <c r="S79" s="73"/>
    </row>
    <row r="80" spans="1:21" x14ac:dyDescent="0.25">
      <c r="A80" s="74"/>
      <c r="B80" s="10"/>
      <c r="C80" s="10"/>
      <c r="D80" s="112"/>
      <c r="E80" s="57"/>
      <c r="F80" s="17"/>
      <c r="G80" s="27"/>
      <c r="H80" s="56"/>
      <c r="I80" s="17"/>
      <c r="J80" s="17"/>
      <c r="K80" s="57"/>
      <c r="L80" s="17"/>
      <c r="M80" s="27"/>
      <c r="N80" s="57"/>
      <c r="O80" s="17"/>
      <c r="P80" s="27"/>
      <c r="Q80" s="29"/>
      <c r="R80" s="19"/>
      <c r="S80" s="73"/>
    </row>
    <row r="81" spans="1:19" s="20" customFormat="1" x14ac:dyDescent="0.25">
      <c r="A81" s="172" t="s">
        <v>757</v>
      </c>
      <c r="B81" s="18"/>
      <c r="C81" s="18"/>
      <c r="D81" s="115"/>
      <c r="E81" s="83"/>
      <c r="F81" s="19"/>
      <c r="G81" s="49">
        <f>SUM(G68:G80)</f>
        <v>8450</v>
      </c>
      <c r="H81" s="59"/>
      <c r="I81" s="32"/>
      <c r="J81" s="32">
        <f>SUM(J68:J80)</f>
        <v>7950</v>
      </c>
      <c r="K81" s="84"/>
      <c r="L81" s="32"/>
      <c r="M81" s="49">
        <f>SUM(M68:M80)</f>
        <v>8189</v>
      </c>
      <c r="N81" s="84"/>
      <c r="O81" s="32"/>
      <c r="P81" s="49">
        <f>SUM(P68:P80)</f>
        <v>8593</v>
      </c>
      <c r="Q81" s="33"/>
      <c r="R81" s="32">
        <f>SUM(R68:R80)</f>
        <v>33182</v>
      </c>
      <c r="S81" s="75"/>
    </row>
    <row r="82" spans="1:19" x14ac:dyDescent="0.25">
      <c r="A82" s="74"/>
      <c r="B82" s="10"/>
      <c r="C82" s="10"/>
      <c r="D82" s="112"/>
      <c r="E82" s="57"/>
      <c r="F82" s="17"/>
      <c r="G82" s="47"/>
      <c r="H82" s="62"/>
      <c r="I82" s="36"/>
      <c r="J82" s="36"/>
      <c r="K82" s="66"/>
      <c r="L82" s="36"/>
      <c r="M82" s="47"/>
      <c r="N82" s="66"/>
      <c r="O82" s="36"/>
      <c r="P82" s="47"/>
      <c r="Q82" s="33"/>
      <c r="R82" s="32"/>
      <c r="S82" s="73"/>
    </row>
    <row r="83" spans="1:19" ht="16.5" thickBot="1" x14ac:dyDescent="0.3">
      <c r="A83" s="48" t="s">
        <v>758</v>
      </c>
      <c r="B83" s="24"/>
      <c r="C83" s="24"/>
      <c r="D83" s="116"/>
      <c r="E83" s="93"/>
      <c r="F83" s="25"/>
      <c r="G83" s="97">
        <f>G66+G81</f>
        <v>11650</v>
      </c>
      <c r="H83" s="95"/>
      <c r="I83" s="43"/>
      <c r="J83" s="43">
        <f>+J66+J81</f>
        <v>7950</v>
      </c>
      <c r="K83" s="85"/>
      <c r="L83" s="43"/>
      <c r="M83" s="97">
        <f>+M66+M81</f>
        <v>8189</v>
      </c>
      <c r="N83" s="85"/>
      <c r="O83" s="43"/>
      <c r="P83" s="97">
        <f>+P66+P81</f>
        <v>8593</v>
      </c>
      <c r="Q83" s="155"/>
      <c r="R83" s="43">
        <f>+R66+R81</f>
        <v>36382</v>
      </c>
      <c r="S83" s="73"/>
    </row>
    <row r="84" spans="1:19" ht="16.5" thickTop="1" x14ac:dyDescent="0.25">
      <c r="A84" s="38"/>
      <c r="B84" s="18"/>
      <c r="C84" s="18"/>
      <c r="D84" s="115"/>
      <c r="E84" s="83"/>
      <c r="F84" s="19"/>
      <c r="G84" s="49"/>
      <c r="H84" s="60"/>
      <c r="I84" s="32"/>
      <c r="J84" s="32"/>
      <c r="K84" s="86"/>
      <c r="L84" s="32"/>
      <c r="M84" s="49"/>
      <c r="N84" s="86"/>
      <c r="O84" s="32"/>
      <c r="P84" s="49"/>
      <c r="Q84" s="33"/>
      <c r="R84" s="32"/>
      <c r="S84" s="73"/>
    </row>
    <row r="85" spans="1:19" x14ac:dyDescent="0.25">
      <c r="A85" s="38" t="s">
        <v>759</v>
      </c>
      <c r="B85" s="10"/>
      <c r="C85" s="10"/>
      <c r="D85" s="112"/>
      <c r="E85" s="90"/>
      <c r="F85" s="17"/>
      <c r="G85" s="47"/>
      <c r="H85" s="55"/>
      <c r="I85" s="36"/>
      <c r="J85" s="36"/>
      <c r="K85" s="87"/>
      <c r="L85" s="36"/>
      <c r="M85" s="47"/>
      <c r="N85" s="87"/>
      <c r="O85" s="36"/>
      <c r="P85" s="47"/>
      <c r="Q85" s="33"/>
      <c r="R85" s="32"/>
      <c r="S85" s="73"/>
    </row>
    <row r="86" spans="1:19" x14ac:dyDescent="0.25">
      <c r="A86" s="74"/>
      <c r="B86" s="10"/>
      <c r="C86" s="10"/>
      <c r="D86" s="112"/>
      <c r="E86" s="90">
        <v>0</v>
      </c>
      <c r="F86" s="17">
        <v>0</v>
      </c>
      <c r="G86" s="27">
        <f t="shared" ref="G86" si="62">ROUND((+E86*F86),0)</f>
        <v>0</v>
      </c>
      <c r="H86" s="55">
        <v>0</v>
      </c>
      <c r="I86" s="17">
        <f>F86</f>
        <v>0</v>
      </c>
      <c r="J86" s="17">
        <f>ROUND((+H86*I86),0)</f>
        <v>0</v>
      </c>
      <c r="K86" s="87">
        <v>0</v>
      </c>
      <c r="L86" s="17">
        <f>I86*(1+$B$9)</f>
        <v>0</v>
      </c>
      <c r="M86" s="27">
        <f>ROUND((+K86*L86),0)</f>
        <v>0</v>
      </c>
      <c r="N86" s="87">
        <v>0</v>
      </c>
      <c r="O86" s="17">
        <f>L86*(1+$B$9)</f>
        <v>0</v>
      </c>
      <c r="P86" s="27">
        <f>ROUND((+N86*O86),0)</f>
        <v>0</v>
      </c>
      <c r="Q86" s="53">
        <f>E86+H86+K86+N86</f>
        <v>0</v>
      </c>
      <c r="R86" s="32">
        <f>SUM(G86+J86+P86)</f>
        <v>0</v>
      </c>
      <c r="S86" s="73"/>
    </row>
    <row r="87" spans="1:19" x14ac:dyDescent="0.25">
      <c r="A87" s="38"/>
      <c r="B87" s="18"/>
      <c r="C87" s="18"/>
      <c r="D87" s="115"/>
      <c r="E87" s="83"/>
      <c r="F87" s="19"/>
      <c r="G87" s="98"/>
      <c r="H87" s="59"/>
      <c r="I87" s="32"/>
      <c r="J87" s="44"/>
      <c r="K87" s="84"/>
      <c r="L87" s="32"/>
      <c r="M87" s="98"/>
      <c r="N87" s="84"/>
      <c r="O87" s="32"/>
      <c r="P87" s="98"/>
      <c r="Q87" s="33"/>
      <c r="R87" s="32" t="s">
        <v>760</v>
      </c>
      <c r="S87" s="73"/>
    </row>
    <row r="88" spans="1:19" ht="16.5" thickBot="1" x14ac:dyDescent="0.3">
      <c r="A88" s="48" t="s">
        <v>761</v>
      </c>
      <c r="B88" s="24"/>
      <c r="C88" s="24"/>
      <c r="D88" s="116"/>
      <c r="E88" s="91"/>
      <c r="F88" s="25"/>
      <c r="G88" s="97">
        <f>SUM(G86:G86)</f>
        <v>0</v>
      </c>
      <c r="H88" s="61"/>
      <c r="I88" s="43"/>
      <c r="J88" s="43">
        <f>SUM(J86:J86)</f>
        <v>0</v>
      </c>
      <c r="K88" s="88"/>
      <c r="L88" s="43"/>
      <c r="M88" s="97">
        <f>SUM(M86:M86)</f>
        <v>0</v>
      </c>
      <c r="N88" s="88"/>
      <c r="O88" s="43"/>
      <c r="P88" s="97">
        <f>SUM(P86:P86)</f>
        <v>0</v>
      </c>
      <c r="Q88" s="45"/>
      <c r="R88" s="43">
        <f>R86</f>
        <v>0</v>
      </c>
      <c r="S88" s="73"/>
    </row>
    <row r="89" spans="1:19" ht="16.5" thickTop="1" x14ac:dyDescent="0.25">
      <c r="A89" s="74"/>
      <c r="B89" s="10"/>
      <c r="C89" s="10"/>
      <c r="D89" s="112"/>
      <c r="E89" s="90"/>
      <c r="F89" s="17"/>
      <c r="G89" s="47"/>
      <c r="H89" s="55"/>
      <c r="I89" s="36"/>
      <c r="J89" s="148"/>
      <c r="K89" s="87"/>
      <c r="L89" s="36"/>
      <c r="M89" s="99"/>
      <c r="N89" s="87"/>
      <c r="O89" s="36"/>
      <c r="P89" s="99"/>
      <c r="Q89" s="33"/>
      <c r="R89" s="32"/>
      <c r="S89" s="73"/>
    </row>
    <row r="90" spans="1:19" x14ac:dyDescent="0.25">
      <c r="A90" s="38" t="s">
        <v>762</v>
      </c>
      <c r="B90" s="10"/>
      <c r="C90" s="10"/>
      <c r="D90" s="112"/>
      <c r="E90" s="90"/>
      <c r="F90" s="17"/>
      <c r="G90" s="47"/>
      <c r="H90" s="55"/>
      <c r="I90" s="36"/>
      <c r="J90" s="36"/>
      <c r="K90" s="87"/>
      <c r="L90" s="36"/>
      <c r="M90" s="47"/>
      <c r="N90" s="87"/>
      <c r="O90" s="36"/>
      <c r="P90" s="47"/>
      <c r="Q90" s="33"/>
      <c r="R90" s="32"/>
      <c r="S90" s="73"/>
    </row>
    <row r="91" spans="1:19" x14ac:dyDescent="0.25">
      <c r="A91" s="38"/>
      <c r="B91" s="10"/>
      <c r="C91" s="10"/>
      <c r="D91" s="112"/>
      <c r="E91" s="90"/>
      <c r="F91" s="17"/>
      <c r="G91" s="47"/>
      <c r="H91" s="55"/>
      <c r="I91" s="36"/>
      <c r="J91" s="36"/>
      <c r="K91" s="87"/>
      <c r="L91" s="36"/>
      <c r="M91" s="47"/>
      <c r="N91" s="87"/>
      <c r="O91" s="36"/>
      <c r="P91" s="47"/>
      <c r="Q91" s="33"/>
      <c r="R91" s="32"/>
      <c r="S91" s="73"/>
    </row>
    <row r="92" spans="1:19" x14ac:dyDescent="0.25">
      <c r="A92" s="170" t="s">
        <v>763</v>
      </c>
      <c r="B92" s="107"/>
      <c r="C92" s="107" t="s">
        <v>764</v>
      </c>
      <c r="D92" s="114" t="s">
        <v>765</v>
      </c>
      <c r="E92" s="90">
        <f>$B$10*2</f>
        <v>4</v>
      </c>
      <c r="F92" s="17">
        <v>400</v>
      </c>
      <c r="G92" s="27">
        <f t="shared" ref="G92" si="63">ROUND((+E92*F92),0)</f>
        <v>1600</v>
      </c>
      <c r="H92" s="55"/>
      <c r="I92" s="17">
        <f>F92</f>
        <v>400</v>
      </c>
      <c r="J92" s="17">
        <f>ROUND((+H92*I92),0)</f>
        <v>0</v>
      </c>
      <c r="K92" s="87"/>
      <c r="L92" s="17">
        <f>I92*(1+$B$9)</f>
        <v>412</v>
      </c>
      <c r="M92" s="27">
        <f>ROUND((+K92*L92),0)</f>
        <v>0</v>
      </c>
      <c r="N92" s="87"/>
      <c r="O92" s="17">
        <f>L92*(1+$B$9)</f>
        <v>424.36</v>
      </c>
      <c r="P92" s="27">
        <f>ROUND((+N92*O92),0)</f>
        <v>0</v>
      </c>
      <c r="Q92" s="53">
        <f>E92+H92+K92+N92</f>
        <v>4</v>
      </c>
      <c r="R92" s="19">
        <f>G92+J92+M92+P92</f>
        <v>1600</v>
      </c>
      <c r="S92" s="73"/>
    </row>
    <row r="93" spans="1:19" x14ac:dyDescent="0.25">
      <c r="A93" s="30"/>
      <c r="B93" s="10"/>
      <c r="C93" s="10"/>
      <c r="D93" s="112"/>
      <c r="E93" s="90"/>
      <c r="F93" s="17"/>
      <c r="G93" s="47"/>
      <c r="H93" s="55"/>
      <c r="I93" s="36"/>
      <c r="J93" s="36"/>
      <c r="K93" s="87"/>
      <c r="L93" s="36"/>
      <c r="M93" s="47"/>
      <c r="N93" s="87"/>
      <c r="O93" s="36"/>
      <c r="P93" s="47"/>
      <c r="Q93" s="33"/>
      <c r="R93" s="32" t="s">
        <v>766</v>
      </c>
      <c r="S93" s="73"/>
    </row>
    <row r="94" spans="1:19" s="20" customFormat="1" ht="16.5" thickBot="1" x14ac:dyDescent="0.3">
      <c r="A94" s="48" t="s">
        <v>767</v>
      </c>
      <c r="B94" s="24"/>
      <c r="C94" s="24"/>
      <c r="D94" s="116"/>
      <c r="E94" s="91"/>
      <c r="F94" s="25"/>
      <c r="G94" s="97">
        <f>G92</f>
        <v>1600</v>
      </c>
      <c r="H94" s="61"/>
      <c r="I94" s="43"/>
      <c r="J94" s="43">
        <f>J92</f>
        <v>0</v>
      </c>
      <c r="K94" s="88"/>
      <c r="L94" s="43"/>
      <c r="M94" s="97">
        <f>M92</f>
        <v>0</v>
      </c>
      <c r="N94" s="88"/>
      <c r="O94" s="43"/>
      <c r="P94" s="97">
        <f>P92</f>
        <v>0</v>
      </c>
      <c r="Q94" s="45"/>
      <c r="R94" s="43">
        <f>R92</f>
        <v>1600</v>
      </c>
      <c r="S94" s="75"/>
    </row>
    <row r="95" spans="1:19" s="20" customFormat="1" ht="16.5" thickTop="1" x14ac:dyDescent="0.25">
      <c r="A95" s="38"/>
      <c r="B95" s="18"/>
      <c r="C95" s="18"/>
      <c r="D95" s="115"/>
      <c r="E95" s="89"/>
      <c r="F95" s="19"/>
      <c r="G95" s="146"/>
      <c r="H95" s="60"/>
      <c r="I95" s="32"/>
      <c r="J95" s="32"/>
      <c r="K95" s="86"/>
      <c r="L95" s="32"/>
      <c r="M95" s="49"/>
      <c r="N95" s="86"/>
      <c r="O95" s="32"/>
      <c r="P95" s="49"/>
      <c r="Q95" s="33"/>
      <c r="R95" s="32"/>
      <c r="S95" s="75"/>
    </row>
    <row r="96" spans="1:19" x14ac:dyDescent="0.25">
      <c r="A96" s="38" t="s">
        <v>768</v>
      </c>
      <c r="B96" s="18"/>
      <c r="C96" s="18"/>
      <c r="D96" s="115"/>
      <c r="E96" s="89"/>
      <c r="F96" s="19"/>
      <c r="G96" s="49"/>
      <c r="H96" s="60"/>
      <c r="I96" s="32"/>
      <c r="J96" s="32"/>
      <c r="K96" s="86"/>
      <c r="L96" s="32"/>
      <c r="M96" s="49"/>
      <c r="N96" s="86"/>
      <c r="O96" s="32"/>
      <c r="P96" s="49"/>
      <c r="Q96" s="33"/>
      <c r="R96" s="32"/>
      <c r="S96" s="73"/>
    </row>
    <row r="97" spans="1:19" x14ac:dyDescent="0.25">
      <c r="A97" s="38"/>
      <c r="B97" s="18"/>
      <c r="C97" s="18"/>
      <c r="D97" s="115"/>
      <c r="E97" s="89"/>
      <c r="F97" s="19"/>
      <c r="G97" s="49"/>
      <c r="H97" s="60"/>
      <c r="I97" s="32"/>
      <c r="J97" s="32"/>
      <c r="K97" s="86"/>
      <c r="L97" s="32"/>
      <c r="M97" s="49"/>
      <c r="N97" s="86"/>
      <c r="O97" s="32"/>
      <c r="P97" s="49"/>
      <c r="Q97" s="33"/>
      <c r="R97" s="32"/>
      <c r="S97" s="73"/>
    </row>
    <row r="98" spans="1:19" x14ac:dyDescent="0.25">
      <c r="A98" s="38" t="s">
        <v>769</v>
      </c>
      <c r="B98" s="10"/>
      <c r="C98" s="10"/>
      <c r="D98" s="112"/>
      <c r="E98" s="57"/>
      <c r="F98" s="17"/>
      <c r="G98" s="47"/>
      <c r="H98" s="62"/>
      <c r="I98" s="36"/>
      <c r="J98" s="36"/>
      <c r="K98" s="66"/>
      <c r="L98" s="36"/>
      <c r="M98" s="47"/>
      <c r="N98" s="66"/>
      <c r="O98" s="36"/>
      <c r="P98" s="47"/>
      <c r="Q98" s="156"/>
      <c r="R98" s="32"/>
      <c r="S98" s="73"/>
    </row>
    <row r="99" spans="1:19" x14ac:dyDescent="0.25">
      <c r="A99" s="175" t="s">
        <v>770</v>
      </c>
      <c r="B99" s="10"/>
      <c r="C99" s="10"/>
      <c r="D99" s="112"/>
      <c r="E99" s="57"/>
      <c r="F99" s="17"/>
      <c r="G99" s="47"/>
      <c r="H99" s="62"/>
      <c r="I99" s="36"/>
      <c r="J99" s="36"/>
      <c r="K99" s="66"/>
      <c r="L99" s="36"/>
      <c r="M99" s="47"/>
      <c r="N99" s="66"/>
      <c r="O99" s="36"/>
      <c r="P99" s="47"/>
      <c r="Q99" s="156"/>
      <c r="R99" s="32"/>
      <c r="S99" s="73"/>
    </row>
    <row r="100" spans="1:19" x14ac:dyDescent="0.25">
      <c r="A100" s="30" t="s">
        <v>771</v>
      </c>
      <c r="B100" s="10"/>
      <c r="C100" s="10"/>
      <c r="D100" s="112" t="s">
        <v>772</v>
      </c>
      <c r="E100" s="57">
        <v>7</v>
      </c>
      <c r="F100" s="17">
        <v>550</v>
      </c>
      <c r="G100" s="27">
        <f t="shared" ref="G100" si="64">ROUND((+E100*F100),0)</f>
        <v>3850</v>
      </c>
      <c r="H100" s="62">
        <v>1</v>
      </c>
      <c r="I100" s="17">
        <f>F100</f>
        <v>550</v>
      </c>
      <c r="J100" s="17">
        <f>ROUND((+H100*I100),0)</f>
        <v>550</v>
      </c>
      <c r="K100" s="66">
        <v>1</v>
      </c>
      <c r="L100" s="17">
        <f>I100*(1+$B$9)</f>
        <v>566.5</v>
      </c>
      <c r="M100" s="27">
        <f>ROUND((+K100*L100),0)</f>
        <v>567</v>
      </c>
      <c r="N100" s="66">
        <v>0</v>
      </c>
      <c r="O100" s="17">
        <f>L100*(1+$B$9)</f>
        <v>583.495</v>
      </c>
      <c r="P100" s="27">
        <f>ROUND((+N100*O100),0)</f>
        <v>0</v>
      </c>
      <c r="Q100" s="53">
        <f t="shared" ref="Q100" si="65">E100+H100+K100+N100</f>
        <v>9</v>
      </c>
      <c r="R100" s="19">
        <f>G100+J100+M100+P100</f>
        <v>4967</v>
      </c>
      <c r="S100" s="73"/>
    </row>
    <row r="101" spans="1:19" x14ac:dyDescent="0.25">
      <c r="A101" s="175" t="s">
        <v>773</v>
      </c>
      <c r="B101" s="16"/>
      <c r="C101" s="10"/>
      <c r="D101" s="112"/>
      <c r="E101" s="57"/>
      <c r="F101" s="17"/>
      <c r="G101" s="47"/>
      <c r="H101" s="62"/>
      <c r="I101" s="36"/>
      <c r="J101" s="36"/>
      <c r="K101" s="66"/>
      <c r="L101" s="36"/>
      <c r="M101" s="47"/>
      <c r="N101" s="66"/>
      <c r="O101" s="36"/>
      <c r="P101" s="47"/>
      <c r="Q101" s="53"/>
      <c r="R101" s="32"/>
      <c r="S101" s="73"/>
    </row>
    <row r="102" spans="1:19" x14ac:dyDescent="0.25">
      <c r="A102" s="30" t="s">
        <v>774</v>
      </c>
      <c r="B102" s="10"/>
      <c r="C102" s="10"/>
      <c r="D102" s="112" t="s">
        <v>775</v>
      </c>
      <c r="E102" s="57">
        <v>2</v>
      </c>
      <c r="F102" s="17">
        <v>550</v>
      </c>
      <c r="G102" s="27">
        <f t="shared" ref="G102" si="66">ROUND((+E102*F102),0)</f>
        <v>1100</v>
      </c>
      <c r="H102" s="62">
        <v>1</v>
      </c>
      <c r="I102" s="17">
        <f>F102</f>
        <v>550</v>
      </c>
      <c r="J102" s="17">
        <f>ROUND((+H102*I102),0)</f>
        <v>550</v>
      </c>
      <c r="K102" s="66">
        <v>1</v>
      </c>
      <c r="L102" s="17">
        <f>I102*(1+$B$9)</f>
        <v>566.5</v>
      </c>
      <c r="M102" s="27">
        <f>ROUND((+K102*L102),0)</f>
        <v>567</v>
      </c>
      <c r="N102" s="66">
        <v>0</v>
      </c>
      <c r="O102" s="17">
        <f>L102*(1+$B$9)</f>
        <v>583.495</v>
      </c>
      <c r="P102" s="27">
        <f>ROUND((+N102*O102),0)</f>
        <v>0</v>
      </c>
      <c r="Q102" s="53">
        <f>E102+H102+K102+N102</f>
        <v>4</v>
      </c>
      <c r="R102" s="19">
        <f>G102+J102+M102+P102</f>
        <v>2217</v>
      </c>
      <c r="S102" s="73"/>
    </row>
    <row r="103" spans="1:19" x14ac:dyDescent="0.25">
      <c r="A103" s="30"/>
      <c r="B103" s="10"/>
      <c r="C103" s="10"/>
      <c r="D103" s="112"/>
      <c r="E103" s="57"/>
      <c r="F103" s="17"/>
      <c r="G103" s="47"/>
      <c r="H103" s="62"/>
      <c r="I103" s="36"/>
      <c r="J103" s="36"/>
      <c r="K103" s="66"/>
      <c r="L103" s="36"/>
      <c r="M103" s="47"/>
      <c r="N103" s="66"/>
      <c r="O103" s="36"/>
      <c r="P103" s="47"/>
      <c r="Q103" s="42"/>
      <c r="R103" s="32"/>
      <c r="S103" s="73"/>
    </row>
    <row r="104" spans="1:19" s="20" customFormat="1" x14ac:dyDescent="0.25">
      <c r="A104" s="38" t="s">
        <v>776</v>
      </c>
      <c r="B104" s="28"/>
      <c r="C104" s="18"/>
      <c r="D104" s="115"/>
      <c r="E104" s="83">
        <f>SUM(E100:E103)</f>
        <v>9</v>
      </c>
      <c r="F104" s="19"/>
      <c r="G104" s="49">
        <f>SUM(G99:G103)</f>
        <v>4950</v>
      </c>
      <c r="H104" s="58">
        <f>SUM(H100:H103)</f>
        <v>2</v>
      </c>
      <c r="I104" s="32" t="s">
        <v>777</v>
      </c>
      <c r="J104" s="32">
        <f>SUM(J99:J103)</f>
        <v>1100</v>
      </c>
      <c r="K104" s="83">
        <f>SUM(K100:K103)</f>
        <v>2</v>
      </c>
      <c r="L104" s="32" t="s">
        <v>778</v>
      </c>
      <c r="M104" s="49">
        <f>SUM(M99:M103)</f>
        <v>1134</v>
      </c>
      <c r="N104" s="83">
        <f>SUM(N100:N103)</f>
        <v>0</v>
      </c>
      <c r="O104" s="32" t="s">
        <v>779</v>
      </c>
      <c r="P104" s="49">
        <f>SUM(P99:P103)</f>
        <v>0</v>
      </c>
      <c r="Q104" s="123">
        <f>E104+H104+K104+N104</f>
        <v>13</v>
      </c>
      <c r="R104" s="32">
        <f>SUM(R99:R103)</f>
        <v>7184</v>
      </c>
      <c r="S104" s="75"/>
    </row>
    <row r="105" spans="1:19" x14ac:dyDescent="0.25">
      <c r="A105" s="74" t="s">
        <v>780</v>
      </c>
      <c r="B105" s="16"/>
      <c r="C105" s="10"/>
      <c r="D105" s="112"/>
      <c r="E105" s="57" t="s">
        <v>781</v>
      </c>
      <c r="F105" s="17" t="s">
        <v>782</v>
      </c>
      <c r="G105" s="47" t="s">
        <v>783</v>
      </c>
      <c r="H105" s="62" t="s">
        <v>784</v>
      </c>
      <c r="I105" s="36" t="s">
        <v>785</v>
      </c>
      <c r="J105" s="36" t="s">
        <v>786</v>
      </c>
      <c r="K105" s="66" t="s">
        <v>787</v>
      </c>
      <c r="L105" s="36" t="s">
        <v>788</v>
      </c>
      <c r="M105" s="47" t="s">
        <v>789</v>
      </c>
      <c r="N105" s="66" t="s">
        <v>790</v>
      </c>
      <c r="O105" s="36" t="s">
        <v>791</v>
      </c>
      <c r="P105" s="47" t="s">
        <v>792</v>
      </c>
      <c r="Q105" s="157" t="s">
        <v>793</v>
      </c>
      <c r="R105" s="32" t="s">
        <v>794</v>
      </c>
      <c r="S105" s="73"/>
    </row>
    <row r="106" spans="1:19" x14ac:dyDescent="0.25">
      <c r="A106" s="160" t="s">
        <v>795</v>
      </c>
      <c r="B106" s="10"/>
      <c r="C106" s="10"/>
      <c r="D106" s="112"/>
      <c r="E106" s="57" t="s">
        <v>796</v>
      </c>
      <c r="F106" s="17" t="s">
        <v>797</v>
      </c>
      <c r="G106" s="47" t="s">
        <v>798</v>
      </c>
      <c r="H106" s="62" t="s">
        <v>799</v>
      </c>
      <c r="I106" s="36" t="s">
        <v>800</v>
      </c>
      <c r="J106" s="36" t="s">
        <v>801</v>
      </c>
      <c r="K106" s="66" t="s">
        <v>802</v>
      </c>
      <c r="L106" s="36" t="s">
        <v>803</v>
      </c>
      <c r="M106" s="47" t="s">
        <v>804</v>
      </c>
      <c r="N106" s="66" t="s">
        <v>805</v>
      </c>
      <c r="O106" s="36" t="s">
        <v>806</v>
      </c>
      <c r="P106" s="47" t="s">
        <v>807</v>
      </c>
      <c r="Q106" s="157" t="s">
        <v>808</v>
      </c>
      <c r="R106" s="32" t="s">
        <v>809</v>
      </c>
      <c r="S106" s="73"/>
    </row>
    <row r="107" spans="1:19" x14ac:dyDescent="0.25">
      <c r="A107" s="175" t="s">
        <v>810</v>
      </c>
      <c r="B107" s="10"/>
      <c r="C107" s="10"/>
      <c r="D107" s="112"/>
      <c r="E107" s="57"/>
      <c r="F107" s="17"/>
      <c r="G107" s="47"/>
      <c r="H107" s="62"/>
      <c r="I107" s="36"/>
      <c r="J107" s="36"/>
      <c r="K107" s="66"/>
      <c r="L107" s="36"/>
      <c r="M107" s="47"/>
      <c r="N107" s="66"/>
      <c r="O107" s="36"/>
      <c r="P107" s="47"/>
      <c r="Q107" s="156"/>
      <c r="R107" s="32"/>
      <c r="S107" s="73"/>
    </row>
    <row r="108" spans="1:19" x14ac:dyDescent="0.25">
      <c r="A108" s="30" t="s">
        <v>811</v>
      </c>
      <c r="B108" s="10"/>
      <c r="C108" s="10"/>
      <c r="D108" s="112" t="s">
        <v>812</v>
      </c>
      <c r="E108" s="57">
        <v>6</v>
      </c>
      <c r="F108" s="17">
        <v>300</v>
      </c>
      <c r="G108" s="27">
        <f t="shared" ref="G108" si="67">ROUND((+E108*F108),0)</f>
        <v>1800</v>
      </c>
      <c r="H108" s="62"/>
      <c r="I108" s="17">
        <f>F108</f>
        <v>300</v>
      </c>
      <c r="J108" s="17">
        <f>ROUND((+H108*I108),0)</f>
        <v>0</v>
      </c>
      <c r="K108" s="66"/>
      <c r="L108" s="17">
        <f>I108*(1+$B$9)</f>
        <v>309</v>
      </c>
      <c r="M108" s="27">
        <f>ROUND((+K108*L108),0)</f>
        <v>0</v>
      </c>
      <c r="N108" s="66">
        <v>6</v>
      </c>
      <c r="O108" s="17">
        <f>L108*(1+$B$9)</f>
        <v>318.27</v>
      </c>
      <c r="P108" s="27">
        <f>ROUND((+N108*O108),0)</f>
        <v>1910</v>
      </c>
      <c r="Q108" s="53">
        <f>E108+H108+K108+N108</f>
        <v>12</v>
      </c>
      <c r="R108" s="19">
        <f>G108+J108+M108+P108</f>
        <v>3710</v>
      </c>
      <c r="S108" s="73"/>
    </row>
    <row r="109" spans="1:19" x14ac:dyDescent="0.25">
      <c r="A109" s="175" t="s">
        <v>813</v>
      </c>
      <c r="B109" s="16"/>
      <c r="C109" s="10"/>
      <c r="D109" s="112"/>
      <c r="E109" s="57"/>
      <c r="F109" s="17"/>
      <c r="G109" s="47"/>
      <c r="H109" s="62"/>
      <c r="I109" s="36"/>
      <c r="J109" s="36"/>
      <c r="K109" s="66"/>
      <c r="L109" s="36"/>
      <c r="M109" s="47"/>
      <c r="N109" s="66"/>
      <c r="O109" s="36"/>
      <c r="P109" s="47"/>
      <c r="Q109" s="53"/>
      <c r="R109" s="32"/>
      <c r="S109" s="73"/>
    </row>
    <row r="110" spans="1:19" x14ac:dyDescent="0.25">
      <c r="A110" s="30" t="s">
        <v>814</v>
      </c>
      <c r="B110" s="10"/>
      <c r="C110" s="10"/>
      <c r="D110" s="112" t="s">
        <v>815</v>
      </c>
      <c r="E110" s="57">
        <v>14</v>
      </c>
      <c r="F110" s="17">
        <v>400</v>
      </c>
      <c r="G110" s="27">
        <f t="shared" ref="G110" si="68">ROUND((+E110*F110),0)</f>
        <v>5600</v>
      </c>
      <c r="H110" s="62">
        <v>14</v>
      </c>
      <c r="I110" s="17">
        <f>F110</f>
        <v>400</v>
      </c>
      <c r="J110" s="17">
        <f>ROUND((+H110*I110),0)</f>
        <v>5600</v>
      </c>
      <c r="K110" s="66">
        <v>14</v>
      </c>
      <c r="L110" s="17">
        <f>I110*(1+$B$9)</f>
        <v>412</v>
      </c>
      <c r="M110" s="27">
        <f>ROUND((+K110*L110),0)</f>
        <v>5768</v>
      </c>
      <c r="N110" s="66">
        <v>14</v>
      </c>
      <c r="O110" s="17">
        <f>L110*(1+$B$9)</f>
        <v>424.36</v>
      </c>
      <c r="P110" s="27">
        <f>ROUND((+N110*O110),0)</f>
        <v>5941</v>
      </c>
      <c r="Q110" s="53">
        <f>E110+H110+K110+N110</f>
        <v>56</v>
      </c>
      <c r="R110" s="19">
        <f>G110+J110+M110+P110</f>
        <v>22909</v>
      </c>
      <c r="S110" s="73"/>
    </row>
    <row r="111" spans="1:19" x14ac:dyDescent="0.25">
      <c r="A111" s="175" t="s">
        <v>816</v>
      </c>
      <c r="B111" s="10"/>
      <c r="C111" s="10"/>
      <c r="D111" s="112"/>
      <c r="E111" s="57"/>
      <c r="F111" s="17"/>
      <c r="G111" s="47"/>
      <c r="H111" s="62"/>
      <c r="I111" s="36"/>
      <c r="J111" s="36"/>
      <c r="K111" s="66"/>
      <c r="L111" s="36"/>
      <c r="M111" s="47"/>
      <c r="N111" s="66"/>
      <c r="O111" s="36"/>
      <c r="P111" s="47"/>
      <c r="Q111" s="53"/>
      <c r="R111" s="32"/>
      <c r="S111" s="73"/>
    </row>
    <row r="112" spans="1:19" x14ac:dyDescent="0.25">
      <c r="A112" s="170" t="s">
        <v>817</v>
      </c>
      <c r="B112" s="107"/>
      <c r="C112" s="107" t="s">
        <v>818</v>
      </c>
      <c r="D112" s="114" t="s">
        <v>819</v>
      </c>
      <c r="E112" s="57">
        <f>$B$10*7</f>
        <v>14</v>
      </c>
      <c r="F112" s="17">
        <v>400</v>
      </c>
      <c r="G112" s="27">
        <f t="shared" ref="G112" si="69">ROUND((+E112*F112),0)</f>
        <v>5600</v>
      </c>
      <c r="H112" s="56">
        <f>$B$10*7</f>
        <v>14</v>
      </c>
      <c r="I112" s="17">
        <f>F112</f>
        <v>400</v>
      </c>
      <c r="J112" s="17">
        <f>ROUND((+H112*I112),0)</f>
        <v>5600</v>
      </c>
      <c r="K112" s="57">
        <f>$B$10*7</f>
        <v>14</v>
      </c>
      <c r="L112" s="17">
        <f>I112*(1+$B$9)</f>
        <v>412</v>
      </c>
      <c r="M112" s="27">
        <f>ROUND((+K112*L112),0)</f>
        <v>5768</v>
      </c>
      <c r="N112" s="57">
        <f>$B$10*7</f>
        <v>14</v>
      </c>
      <c r="O112" s="17">
        <f>L112*(1+$B$9)</f>
        <v>424.36</v>
      </c>
      <c r="P112" s="27">
        <f>ROUND((+N112*O112),0)</f>
        <v>5941</v>
      </c>
      <c r="Q112" s="53">
        <f>E112+H112+K112+N112</f>
        <v>56</v>
      </c>
      <c r="R112" s="19">
        <f>G112+J112+M112+P112</f>
        <v>22909</v>
      </c>
      <c r="S112" s="73"/>
    </row>
    <row r="113" spans="1:53" x14ac:dyDescent="0.25">
      <c r="A113" s="74"/>
      <c r="B113" s="16"/>
      <c r="C113" s="10"/>
      <c r="D113" s="112"/>
      <c r="E113" s="57"/>
      <c r="F113" s="17"/>
      <c r="G113" s="47"/>
      <c r="H113" s="62"/>
      <c r="I113" s="36"/>
      <c r="J113" s="36"/>
      <c r="K113" s="66"/>
      <c r="L113" s="36"/>
      <c r="M113" s="47"/>
      <c r="N113" s="66"/>
      <c r="O113" s="36"/>
      <c r="P113" s="47"/>
      <c r="Q113" s="158"/>
      <c r="R113" s="32"/>
      <c r="S113" s="73"/>
    </row>
    <row r="114" spans="1:53" s="34" customFormat="1" x14ac:dyDescent="0.25">
      <c r="A114" s="38" t="s">
        <v>820</v>
      </c>
      <c r="B114" s="33"/>
      <c r="C114" s="33"/>
      <c r="D114" s="117"/>
      <c r="E114" s="84">
        <f>SUM(E108:E112)</f>
        <v>34</v>
      </c>
      <c r="F114" s="32"/>
      <c r="G114" s="49">
        <f>SUM(G106:G113)</f>
        <v>13000</v>
      </c>
      <c r="H114" s="59">
        <f>SUM(H108:H112)</f>
        <v>28</v>
      </c>
      <c r="I114" s="32"/>
      <c r="J114" s="32">
        <f>SUM(J106:J113)</f>
        <v>11200</v>
      </c>
      <c r="K114" s="84">
        <f>SUM(K108:K112)</f>
        <v>28</v>
      </c>
      <c r="L114" s="32"/>
      <c r="M114" s="49">
        <f>SUM(M106:M113)</f>
        <v>11536</v>
      </c>
      <c r="N114" s="84">
        <f>SUM(N108:N112)</f>
        <v>34</v>
      </c>
      <c r="O114" s="32"/>
      <c r="P114" s="49">
        <f>SUM(P106:P113)</f>
        <v>13792</v>
      </c>
      <c r="Q114" s="59">
        <f>SUM(Q108:Q112)</f>
        <v>124</v>
      </c>
      <c r="R114" s="49">
        <f>SUM(R106:R113)</f>
        <v>49528</v>
      </c>
      <c r="S114" s="77"/>
    </row>
    <row r="115" spans="1:53" x14ac:dyDescent="0.25">
      <c r="A115" s="74"/>
      <c r="B115" s="10"/>
      <c r="C115" s="10"/>
      <c r="D115" s="112"/>
      <c r="E115" s="57"/>
      <c r="F115" s="17"/>
      <c r="G115" s="47"/>
      <c r="H115" s="62"/>
      <c r="I115" s="36"/>
      <c r="J115" s="36"/>
      <c r="K115" s="66"/>
      <c r="L115" s="36"/>
      <c r="M115" s="47"/>
      <c r="N115" s="66"/>
      <c r="O115" s="36"/>
      <c r="P115" s="47"/>
      <c r="Q115" s="159"/>
      <c r="R115" s="32"/>
      <c r="S115" s="73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</row>
    <row r="116" spans="1:53" s="20" customFormat="1" x14ac:dyDescent="0.25">
      <c r="A116" s="172" t="s">
        <v>821</v>
      </c>
      <c r="B116" s="18"/>
      <c r="C116" s="18"/>
      <c r="D116" s="115"/>
      <c r="E116" s="89">
        <f>SUM(E104,E114)</f>
        <v>43</v>
      </c>
      <c r="F116" s="19"/>
      <c r="G116" s="49">
        <f>SUM(G104,G114)</f>
        <v>17950</v>
      </c>
      <c r="H116" s="60">
        <f>SUM(H104,H114)</f>
        <v>30</v>
      </c>
      <c r="I116" s="32"/>
      <c r="J116" s="32">
        <f>SUM(J104,J114)</f>
        <v>12300</v>
      </c>
      <c r="K116" s="86">
        <f>SUM(K104,K114)</f>
        <v>30</v>
      </c>
      <c r="L116" s="32"/>
      <c r="M116" s="49">
        <f>SUM(M104,M114)</f>
        <v>12670</v>
      </c>
      <c r="N116" s="86">
        <f>SUM(N104,N114)</f>
        <v>34</v>
      </c>
      <c r="O116" s="32"/>
      <c r="P116" s="49">
        <f>SUM(P104,P114)</f>
        <v>13792</v>
      </c>
      <c r="Q116" s="59">
        <f>SUM(Q104,Q114)</f>
        <v>137</v>
      </c>
      <c r="R116" s="32">
        <f>SUM(R104,R114)</f>
        <v>56712</v>
      </c>
      <c r="S116" s="75"/>
    </row>
    <row r="117" spans="1:53" x14ac:dyDescent="0.25">
      <c r="A117" s="38"/>
      <c r="B117" s="18"/>
      <c r="C117" s="18"/>
      <c r="D117" s="115"/>
      <c r="E117" s="89"/>
      <c r="F117" s="19"/>
      <c r="G117" s="49"/>
      <c r="H117" s="68"/>
      <c r="I117" s="19"/>
      <c r="J117" s="32"/>
      <c r="K117" s="89"/>
      <c r="L117" s="19"/>
      <c r="M117" s="49"/>
      <c r="N117" s="89"/>
      <c r="O117" s="19"/>
      <c r="P117" s="49"/>
      <c r="Q117" s="18"/>
      <c r="R117" s="32"/>
      <c r="S117" s="73"/>
    </row>
    <row r="118" spans="1:53" ht="16.5" thickBot="1" x14ac:dyDescent="0.3">
      <c r="A118" s="48" t="s">
        <v>822</v>
      </c>
      <c r="B118" s="24"/>
      <c r="C118" s="24"/>
      <c r="D118" s="116"/>
      <c r="E118" s="91"/>
      <c r="F118" s="25"/>
      <c r="G118" s="46">
        <f>G116</f>
        <v>17950</v>
      </c>
      <c r="H118" s="67"/>
      <c r="I118" s="25"/>
      <c r="J118" s="46">
        <f>J116</f>
        <v>12300</v>
      </c>
      <c r="K118" s="91"/>
      <c r="L118" s="25"/>
      <c r="M118" s="46">
        <f>M116</f>
        <v>12670</v>
      </c>
      <c r="N118" s="91"/>
      <c r="O118" s="25"/>
      <c r="P118" s="46">
        <f>P116</f>
        <v>13792</v>
      </c>
      <c r="Q118" s="24"/>
      <c r="R118" s="46">
        <f>R116</f>
        <v>56712</v>
      </c>
      <c r="S118" s="73">
        <f>G118+J118+M118+P118</f>
        <v>56712</v>
      </c>
    </row>
    <row r="119" spans="1:53" ht="16.5" thickTop="1" x14ac:dyDescent="0.25">
      <c r="A119" s="38"/>
      <c r="B119" s="18"/>
      <c r="C119" s="18"/>
      <c r="D119" s="115"/>
      <c r="E119" s="90"/>
      <c r="F119" s="17"/>
      <c r="G119" s="147"/>
      <c r="H119" s="124"/>
      <c r="I119" s="35"/>
      <c r="J119" s="149"/>
      <c r="K119" s="92"/>
      <c r="L119" s="35"/>
      <c r="M119" s="101"/>
      <c r="N119" s="92"/>
      <c r="O119" s="35"/>
      <c r="P119" s="101"/>
      <c r="Q119" s="18"/>
      <c r="R119" s="19"/>
      <c r="S119" s="73"/>
    </row>
    <row r="120" spans="1:53" s="20" customFormat="1" x14ac:dyDescent="0.25">
      <c r="A120" s="38" t="s">
        <v>823</v>
      </c>
      <c r="B120" s="18"/>
      <c r="C120" s="18"/>
      <c r="D120" s="115"/>
      <c r="E120" s="90"/>
      <c r="F120" s="17"/>
      <c r="G120" s="27"/>
      <c r="H120" s="124"/>
      <c r="I120" s="35"/>
      <c r="J120" s="35"/>
      <c r="K120" s="92"/>
      <c r="L120" s="35"/>
      <c r="M120" s="102"/>
      <c r="N120" s="92"/>
      <c r="O120" s="35"/>
      <c r="P120" s="102"/>
      <c r="Q120" s="18"/>
      <c r="R120" s="72"/>
      <c r="S120" s="75"/>
    </row>
    <row r="121" spans="1:53" s="20" customFormat="1" x14ac:dyDescent="0.25">
      <c r="A121" s="38"/>
      <c r="B121" s="18"/>
      <c r="C121" s="18"/>
      <c r="D121" s="115"/>
      <c r="E121" s="90"/>
      <c r="F121" s="17"/>
      <c r="G121" s="27"/>
      <c r="H121" s="124"/>
      <c r="I121" s="35"/>
      <c r="J121" s="35"/>
      <c r="K121" s="92"/>
      <c r="L121" s="35"/>
      <c r="M121" s="102"/>
      <c r="N121" s="92"/>
      <c r="O121" s="35"/>
      <c r="P121" s="102"/>
      <c r="Q121" s="18"/>
      <c r="R121" s="72"/>
      <c r="S121" s="75"/>
    </row>
    <row r="122" spans="1:53" x14ac:dyDescent="0.25">
      <c r="A122" s="38" t="s">
        <v>824</v>
      </c>
      <c r="B122" s="10"/>
      <c r="C122" s="10"/>
      <c r="D122" s="112"/>
      <c r="E122" s="90"/>
      <c r="F122" s="17"/>
      <c r="G122" s="27"/>
      <c r="H122" s="124"/>
      <c r="I122" s="35"/>
      <c r="J122" s="35"/>
      <c r="K122" s="92"/>
      <c r="L122" s="35"/>
      <c r="M122" s="102"/>
      <c r="N122" s="92"/>
      <c r="O122" s="35"/>
      <c r="P122" s="102"/>
      <c r="R122" s="72"/>
      <c r="S122" s="73"/>
    </row>
    <row r="123" spans="1:53" x14ac:dyDescent="0.25">
      <c r="A123" s="74"/>
      <c r="B123" s="10"/>
      <c r="C123" s="10"/>
      <c r="D123" s="112"/>
      <c r="E123" s="90"/>
      <c r="F123" s="17"/>
      <c r="G123" s="27"/>
      <c r="H123" s="54"/>
      <c r="I123" s="17"/>
      <c r="J123" s="17"/>
      <c r="K123" s="90"/>
      <c r="L123" s="17"/>
      <c r="M123" s="27"/>
      <c r="N123" s="90"/>
      <c r="O123" s="17"/>
      <c r="P123" s="27"/>
      <c r="Q123" s="18"/>
      <c r="R123" s="19"/>
      <c r="S123" s="73"/>
    </row>
    <row r="124" spans="1:53" x14ac:dyDescent="0.25">
      <c r="A124" s="173" t="s">
        <v>825</v>
      </c>
      <c r="B124" s="16"/>
      <c r="C124" s="10"/>
      <c r="D124" s="112"/>
      <c r="E124" s="57"/>
      <c r="F124" s="17"/>
      <c r="G124" s="27"/>
      <c r="H124" s="56"/>
      <c r="I124" s="17"/>
      <c r="J124" s="17"/>
      <c r="K124" s="57"/>
      <c r="L124" s="17"/>
      <c r="M124" s="27"/>
      <c r="N124" s="57"/>
      <c r="O124" s="17"/>
      <c r="P124" s="27"/>
      <c r="Q124" s="28"/>
      <c r="R124" s="19"/>
      <c r="S124" s="73"/>
    </row>
    <row r="125" spans="1:53" x14ac:dyDescent="0.25">
      <c r="A125" s="161" t="s">
        <v>826</v>
      </c>
      <c r="B125" s="16"/>
      <c r="C125" s="10"/>
      <c r="D125" s="112" t="s">
        <v>827</v>
      </c>
      <c r="E125" s="57">
        <v>1</v>
      </c>
      <c r="F125" s="17">
        <v>500</v>
      </c>
      <c r="G125" s="27">
        <f t="shared" ref="G125:G126" si="70">ROUND((+E125*F125),0)</f>
        <v>500</v>
      </c>
      <c r="H125" s="56"/>
      <c r="I125" s="17">
        <f>F125</f>
        <v>500</v>
      </c>
      <c r="J125" s="17">
        <f>ROUND((+H125*I125),0)</f>
        <v>0</v>
      </c>
      <c r="K125" s="57"/>
      <c r="L125" s="17">
        <f>I125*(1+$B$9)</f>
        <v>515</v>
      </c>
      <c r="M125" s="27">
        <f>ROUND((+K125*L125),0)</f>
        <v>0</v>
      </c>
      <c r="N125" s="57"/>
      <c r="O125" s="17">
        <f>L125*(1+$B$9)</f>
        <v>530.45000000000005</v>
      </c>
      <c r="P125" s="27">
        <f>ROUND((+N125*O125),0)</f>
        <v>0</v>
      </c>
      <c r="Q125" s="53">
        <f>E125+H125+K125+N125</f>
        <v>1</v>
      </c>
      <c r="R125" s="19">
        <f>G125+J125+M125+P125</f>
        <v>500</v>
      </c>
      <c r="S125" s="73"/>
    </row>
    <row r="126" spans="1:53" x14ac:dyDescent="0.25">
      <c r="A126" s="161" t="s">
        <v>828</v>
      </c>
      <c r="B126" s="16"/>
      <c r="C126" s="10"/>
      <c r="D126" s="112" t="s">
        <v>829</v>
      </c>
      <c r="E126" s="57"/>
      <c r="F126" s="17">
        <v>1500</v>
      </c>
      <c r="G126" s="27">
        <f t="shared" si="70"/>
        <v>0</v>
      </c>
      <c r="H126" s="179">
        <v>0</v>
      </c>
      <c r="I126" s="180">
        <v>1500</v>
      </c>
      <c r="J126" s="180">
        <f>ROUND((+H126*I126),0)</f>
        <v>0</v>
      </c>
      <c r="K126" s="57">
        <v>0</v>
      </c>
      <c r="L126" s="17">
        <f>I126*(1+$B$9)</f>
        <v>1545</v>
      </c>
      <c r="M126" s="27">
        <f>ROUND((+K126*L126),0)</f>
        <v>0</v>
      </c>
      <c r="N126" s="57">
        <v>0</v>
      </c>
      <c r="O126" s="17">
        <f>L126*(1+$B$9)</f>
        <v>1591.3500000000001</v>
      </c>
      <c r="P126" s="27">
        <f>ROUND((+N126*O126),0)</f>
        <v>0</v>
      </c>
      <c r="Q126" s="53">
        <f>E126+H126+K126+N126</f>
        <v>0</v>
      </c>
      <c r="R126" s="19">
        <f>G126+J126+M126+P126</f>
        <v>0</v>
      </c>
      <c r="S126" s="73"/>
    </row>
    <row r="127" spans="1:53" x14ac:dyDescent="0.25">
      <c r="A127" s="161" t="s">
        <v>830</v>
      </c>
      <c r="B127" s="16"/>
      <c r="C127" s="10"/>
      <c r="D127" s="112"/>
      <c r="E127" s="57"/>
      <c r="F127" s="17"/>
      <c r="G127" s="27"/>
      <c r="H127" s="56"/>
      <c r="I127" s="17"/>
      <c r="J127" s="17"/>
      <c r="K127" s="57"/>
      <c r="L127" s="17"/>
      <c r="M127" s="27"/>
      <c r="N127" s="57"/>
      <c r="O127" s="17"/>
      <c r="P127" s="27"/>
      <c r="Q127" s="28"/>
      <c r="R127" s="19"/>
      <c r="S127" s="73"/>
    </row>
    <row r="128" spans="1:53" x14ac:dyDescent="0.25">
      <c r="A128" s="30" t="s">
        <v>831</v>
      </c>
      <c r="B128" s="16"/>
      <c r="C128" s="10"/>
      <c r="D128" s="112" t="s">
        <v>832</v>
      </c>
      <c r="E128" s="57"/>
      <c r="F128" s="17">
        <v>500</v>
      </c>
      <c r="G128" s="27">
        <f t="shared" ref="G128:G129" si="71">ROUND((+E128*F128),0)</f>
        <v>0</v>
      </c>
      <c r="H128" s="56">
        <v>0</v>
      </c>
      <c r="I128" s="17">
        <v>500</v>
      </c>
      <c r="J128" s="17">
        <f t="shared" ref="J128:J129" si="72">ROUND((+H128*I128),0)</f>
        <v>0</v>
      </c>
      <c r="K128" s="57">
        <v>0</v>
      </c>
      <c r="L128" s="17">
        <f t="shared" ref="L128:L129" si="73">I128*(1+$B$9)</f>
        <v>515</v>
      </c>
      <c r="M128" s="27">
        <f t="shared" ref="M128:M129" si="74">ROUND((+K128*L128),0)</f>
        <v>0</v>
      </c>
      <c r="N128" s="57">
        <v>0</v>
      </c>
      <c r="O128" s="17">
        <f t="shared" ref="O128:O129" si="75">L128*(1+$B$9)</f>
        <v>530.45000000000005</v>
      </c>
      <c r="P128" s="27">
        <f t="shared" ref="P128:P129" si="76">ROUND((+N128*O128),0)</f>
        <v>0</v>
      </c>
      <c r="Q128" s="53">
        <f t="shared" ref="Q128:Q129" si="77">E128+H128+K128+N128</f>
        <v>0</v>
      </c>
      <c r="R128" s="19">
        <f>G128+J128+M128+P128</f>
        <v>0</v>
      </c>
      <c r="S128" s="73"/>
    </row>
    <row r="129" spans="1:19" x14ac:dyDescent="0.25">
      <c r="A129" s="30" t="s">
        <v>833</v>
      </c>
      <c r="B129" s="16"/>
      <c r="C129" s="107" t="s">
        <v>834</v>
      </c>
      <c r="D129" s="112" t="s">
        <v>835</v>
      </c>
      <c r="E129" s="57"/>
      <c r="F129" s="17">
        <f>20*30</f>
        <v>600</v>
      </c>
      <c r="G129" s="27">
        <f t="shared" si="71"/>
        <v>0</v>
      </c>
      <c r="H129" s="179">
        <v>0</v>
      </c>
      <c r="I129" s="180">
        <v>600</v>
      </c>
      <c r="J129" s="180">
        <f t="shared" si="72"/>
        <v>0</v>
      </c>
      <c r="K129" s="57">
        <v>0</v>
      </c>
      <c r="L129" s="17">
        <f t="shared" si="73"/>
        <v>618</v>
      </c>
      <c r="M129" s="27">
        <f t="shared" si="74"/>
        <v>0</v>
      </c>
      <c r="N129" s="57">
        <v>0</v>
      </c>
      <c r="O129" s="17">
        <f t="shared" si="75"/>
        <v>636.54</v>
      </c>
      <c r="P129" s="27">
        <f t="shared" si="76"/>
        <v>0</v>
      </c>
      <c r="Q129" s="53">
        <f t="shared" si="77"/>
        <v>0</v>
      </c>
      <c r="R129" s="19">
        <f>G129+J129+M129+P129</f>
        <v>0</v>
      </c>
      <c r="S129" s="73"/>
    </row>
    <row r="130" spans="1:19" x14ac:dyDescent="0.25">
      <c r="A130" s="161" t="s">
        <v>836</v>
      </c>
      <c r="B130" s="16"/>
      <c r="C130" s="10"/>
      <c r="D130" s="112"/>
      <c r="E130" s="57"/>
      <c r="F130" s="17"/>
      <c r="G130" s="27"/>
      <c r="H130" s="56"/>
      <c r="I130" s="17"/>
      <c r="J130" s="17"/>
      <c r="K130" s="57"/>
      <c r="L130" s="17"/>
      <c r="M130" s="27"/>
      <c r="N130" s="57"/>
      <c r="O130" s="17"/>
      <c r="P130" s="27"/>
      <c r="Q130" s="53"/>
      <c r="R130" s="32"/>
      <c r="S130" s="73"/>
    </row>
    <row r="131" spans="1:19" x14ac:dyDescent="0.25">
      <c r="A131" s="30" t="s">
        <v>837</v>
      </c>
      <c r="B131" s="16"/>
      <c r="C131" s="107" t="s">
        <v>838</v>
      </c>
      <c r="D131" s="112" t="s">
        <v>839</v>
      </c>
      <c r="E131" s="57"/>
      <c r="F131" s="17">
        <v>750</v>
      </c>
      <c r="G131" s="27">
        <f t="shared" ref="G131:G132" si="78">ROUND((+E131*F131),0)</f>
        <v>0</v>
      </c>
      <c r="H131" s="179">
        <v>0</v>
      </c>
      <c r="I131" s="180">
        <v>750</v>
      </c>
      <c r="J131" s="180">
        <f t="shared" ref="J131:J132" si="79">ROUND((+H131*I131),0)</f>
        <v>0</v>
      </c>
      <c r="K131" s="57"/>
      <c r="L131" s="17">
        <f t="shared" ref="L131:L132" si="80">I131*(1+$B$9)</f>
        <v>772.5</v>
      </c>
      <c r="M131" s="27">
        <f t="shared" ref="M131:M132" si="81">ROUND((+K131*L131),0)</f>
        <v>0</v>
      </c>
      <c r="N131" s="57">
        <v>0</v>
      </c>
      <c r="O131" s="17">
        <f t="shared" ref="O131:O132" si="82">L131*(1+$B$9)</f>
        <v>795.67500000000007</v>
      </c>
      <c r="P131" s="27">
        <f t="shared" ref="P131:P132" si="83">ROUND((+N131*O131),0)</f>
        <v>0</v>
      </c>
      <c r="Q131" s="53">
        <f t="shared" ref="Q131:Q132" si="84">E131+H131+K131+N131</f>
        <v>0</v>
      </c>
      <c r="R131" s="19">
        <f>G131+J131+M131+P131</f>
        <v>0</v>
      </c>
      <c r="S131" s="73"/>
    </row>
    <row r="132" spans="1:19" x14ac:dyDescent="0.25">
      <c r="A132" s="30" t="s">
        <v>840</v>
      </c>
      <c r="B132" s="16"/>
      <c r="C132" s="107" t="s">
        <v>841</v>
      </c>
      <c r="D132" s="112" t="s">
        <v>842</v>
      </c>
      <c r="E132" s="57"/>
      <c r="F132" s="17">
        <v>3000</v>
      </c>
      <c r="G132" s="27">
        <f t="shared" si="78"/>
        <v>0</v>
      </c>
      <c r="H132" s="179">
        <v>0</v>
      </c>
      <c r="I132" s="180">
        <v>3000</v>
      </c>
      <c r="J132" s="180">
        <f t="shared" si="79"/>
        <v>0</v>
      </c>
      <c r="K132" s="57"/>
      <c r="L132" s="17">
        <f t="shared" si="80"/>
        <v>3090</v>
      </c>
      <c r="M132" s="27">
        <f t="shared" si="81"/>
        <v>0</v>
      </c>
      <c r="N132" s="57">
        <v>0</v>
      </c>
      <c r="O132" s="17">
        <f t="shared" si="82"/>
        <v>3182.7000000000003</v>
      </c>
      <c r="P132" s="27">
        <f t="shared" si="83"/>
        <v>0</v>
      </c>
      <c r="Q132" s="53">
        <f t="shared" si="84"/>
        <v>0</v>
      </c>
      <c r="R132" s="19">
        <f>G132+J132+M132+P132</f>
        <v>0</v>
      </c>
      <c r="S132" s="73"/>
    </row>
    <row r="133" spans="1:19" ht="13.5" customHeight="1" x14ac:dyDescent="0.25">
      <c r="A133" s="161" t="s">
        <v>843</v>
      </c>
      <c r="B133" s="16"/>
      <c r="C133" s="10"/>
      <c r="D133" s="112"/>
      <c r="E133" s="57"/>
      <c r="F133" s="17"/>
      <c r="G133" s="27"/>
      <c r="H133" s="56"/>
      <c r="I133" s="17"/>
      <c r="J133" s="17">
        <f>ROUND((+H133*I133),0)</f>
        <v>0</v>
      </c>
      <c r="K133" s="57"/>
      <c r="L133" s="17">
        <f>I133*(1+$B$9)</f>
        <v>0</v>
      </c>
      <c r="M133" s="27">
        <f>ROUND((+K133*L133),0)</f>
        <v>0</v>
      </c>
      <c r="N133" s="57"/>
      <c r="O133" s="17">
        <f>L133*(1+$B$9)</f>
        <v>0</v>
      </c>
      <c r="P133" s="27"/>
      <c r="Q133" s="53"/>
      <c r="R133" s="32"/>
      <c r="S133" s="73"/>
    </row>
    <row r="134" spans="1:19" x14ac:dyDescent="0.25">
      <c r="A134" s="30" t="s">
        <v>844</v>
      </c>
      <c r="B134" s="16"/>
      <c r="C134" s="10" t="s">
        <v>845</v>
      </c>
      <c r="D134" s="112"/>
      <c r="E134" s="57"/>
      <c r="F134" s="17">
        <v>10000</v>
      </c>
      <c r="G134" s="27">
        <f t="shared" ref="G134:G135" si="85">ROUND((+E134*F134),0)</f>
        <v>0</v>
      </c>
      <c r="H134" s="54"/>
      <c r="I134" s="17">
        <f t="shared" ref="I134:I135" si="86">F134</f>
        <v>10000</v>
      </c>
      <c r="J134" s="17">
        <f t="shared" ref="J134:J135" si="87">ROUND((+H134*I134),0)</f>
        <v>0</v>
      </c>
      <c r="K134" s="90"/>
      <c r="L134" s="17">
        <f t="shared" ref="L134:L135" si="88">I134*(1+$B$9)</f>
        <v>10300</v>
      </c>
      <c r="M134" s="27">
        <f t="shared" ref="M134:M135" si="89">ROUND((+K134*L134),0)</f>
        <v>0</v>
      </c>
      <c r="N134" s="90">
        <v>1</v>
      </c>
      <c r="O134" s="17">
        <f t="shared" ref="O134:O135" si="90">L134*(1+$B$9)</f>
        <v>10609</v>
      </c>
      <c r="P134" s="27">
        <f t="shared" ref="P134:P135" si="91">ROUND((+N134*O134),0)</f>
        <v>10609</v>
      </c>
      <c r="Q134" s="53">
        <f t="shared" ref="Q134:Q135" si="92">E134+H134+K134+N134</f>
        <v>1</v>
      </c>
      <c r="R134" s="19">
        <f>G134+J134+M134+P134</f>
        <v>10609</v>
      </c>
      <c r="S134" s="73"/>
    </row>
    <row r="135" spans="1:19" x14ac:dyDescent="0.25">
      <c r="A135" s="30" t="s">
        <v>846</v>
      </c>
      <c r="B135" s="10"/>
      <c r="C135" s="10" t="s">
        <v>847</v>
      </c>
      <c r="D135" s="112"/>
      <c r="E135" s="90"/>
      <c r="F135" s="17">
        <v>2000</v>
      </c>
      <c r="G135" s="27">
        <f t="shared" si="85"/>
        <v>0</v>
      </c>
      <c r="H135" s="54"/>
      <c r="I135" s="17">
        <f t="shared" si="86"/>
        <v>2000</v>
      </c>
      <c r="J135" s="17">
        <f t="shared" si="87"/>
        <v>0</v>
      </c>
      <c r="K135" s="90"/>
      <c r="L135" s="17">
        <f t="shared" si="88"/>
        <v>2060</v>
      </c>
      <c r="M135" s="27">
        <f t="shared" si="89"/>
        <v>0</v>
      </c>
      <c r="N135" s="90">
        <v>1</v>
      </c>
      <c r="O135" s="17">
        <f t="shared" si="90"/>
        <v>2121.8000000000002</v>
      </c>
      <c r="P135" s="27">
        <f t="shared" si="91"/>
        <v>2122</v>
      </c>
      <c r="Q135" s="53">
        <f t="shared" si="92"/>
        <v>1</v>
      </c>
      <c r="R135" s="19">
        <f>G135+J135+M135+P135</f>
        <v>2122</v>
      </c>
      <c r="S135" s="73"/>
    </row>
    <row r="136" spans="1:19" x14ac:dyDescent="0.25">
      <c r="A136" s="30"/>
      <c r="B136" s="10"/>
      <c r="C136" s="10"/>
      <c r="D136" s="112"/>
      <c r="E136" s="90"/>
      <c r="F136" s="17"/>
      <c r="G136" s="27"/>
      <c r="H136" s="54"/>
      <c r="I136" s="17"/>
      <c r="J136" s="17"/>
      <c r="K136" s="90"/>
      <c r="L136" s="17"/>
      <c r="M136" s="27"/>
      <c r="N136" s="90"/>
      <c r="O136" s="17"/>
      <c r="P136" s="27"/>
      <c r="Q136" s="53"/>
      <c r="R136" s="32"/>
      <c r="S136" s="73"/>
    </row>
    <row r="137" spans="1:19" x14ac:dyDescent="0.25">
      <c r="A137" s="173" t="s">
        <v>848</v>
      </c>
      <c r="B137" s="16"/>
      <c r="C137" s="10"/>
      <c r="D137" s="112"/>
      <c r="E137" s="57"/>
      <c r="F137" s="17"/>
      <c r="G137" s="27"/>
      <c r="H137" s="56"/>
      <c r="I137" s="17"/>
      <c r="J137" s="17"/>
      <c r="K137" s="57"/>
      <c r="L137" s="17"/>
      <c r="M137" s="27"/>
      <c r="N137" s="57"/>
      <c r="O137" s="17"/>
      <c r="P137" s="27"/>
      <c r="Q137" s="53"/>
      <c r="R137" s="19"/>
      <c r="S137" s="73"/>
    </row>
    <row r="138" spans="1:19" x14ac:dyDescent="0.25">
      <c r="A138" s="161" t="s">
        <v>849</v>
      </c>
      <c r="B138" s="16"/>
      <c r="C138" s="10"/>
      <c r="D138" s="112"/>
      <c r="E138" s="57"/>
      <c r="F138" s="17"/>
      <c r="G138" s="27"/>
      <c r="H138" s="56"/>
      <c r="I138" s="17"/>
      <c r="J138" s="17"/>
      <c r="K138" s="57"/>
      <c r="L138" s="17"/>
      <c r="M138" s="27"/>
      <c r="N138" s="57"/>
      <c r="O138" s="17"/>
      <c r="P138" s="27"/>
      <c r="Q138" s="53"/>
      <c r="R138" s="19"/>
      <c r="S138" s="73"/>
    </row>
    <row r="139" spans="1:19" x14ac:dyDescent="0.25">
      <c r="A139" s="170" t="s">
        <v>850</v>
      </c>
      <c r="B139" s="108"/>
      <c r="C139" s="107" t="s">
        <v>851</v>
      </c>
      <c r="D139" s="114" t="s">
        <v>852</v>
      </c>
      <c r="E139" s="181">
        <f>5*$B$10</f>
        <v>10</v>
      </c>
      <c r="F139" s="17">
        <v>175</v>
      </c>
      <c r="G139" s="27">
        <f t="shared" ref="G139:G141" si="93">ROUND((+E139*F139),0)</f>
        <v>1750</v>
      </c>
      <c r="H139" s="181">
        <f>5*$B$10</f>
        <v>10</v>
      </c>
      <c r="I139" s="17">
        <f t="shared" ref="I139:I141" si="94">F139</f>
        <v>175</v>
      </c>
      <c r="J139" s="17">
        <f t="shared" ref="J139:J141" si="95">ROUND((+H139*I139),0)</f>
        <v>1750</v>
      </c>
      <c r="K139" s="181">
        <f>5*$B$10</f>
        <v>10</v>
      </c>
      <c r="L139" s="17">
        <f t="shared" ref="L139:L141" si="96">I139*(1+$B$9)</f>
        <v>180.25</v>
      </c>
      <c r="M139" s="27">
        <f t="shared" ref="M139:M141" si="97">ROUND((+K139*L139),0)</f>
        <v>1803</v>
      </c>
      <c r="N139" s="181">
        <f>5*$B$10</f>
        <v>10</v>
      </c>
      <c r="O139" s="17">
        <f t="shared" ref="O139:O141" si="98">L139*(1+$B$9)</f>
        <v>185.6575</v>
      </c>
      <c r="P139" s="27">
        <f t="shared" ref="P139:P141" si="99">ROUND((+N139*O139),0)</f>
        <v>1857</v>
      </c>
      <c r="Q139" s="53">
        <f t="shared" ref="Q139:Q141" si="100">E139+H139+K139+N139</f>
        <v>40</v>
      </c>
      <c r="R139" s="19">
        <f>G139+J139+M139+P139</f>
        <v>7160</v>
      </c>
      <c r="S139" s="73"/>
    </row>
    <row r="140" spans="1:19" x14ac:dyDescent="0.25">
      <c r="A140" s="170" t="s">
        <v>853</v>
      </c>
      <c r="B140" s="108"/>
      <c r="C140" s="107" t="s">
        <v>854</v>
      </c>
      <c r="D140" s="114" t="s">
        <v>855</v>
      </c>
      <c r="E140" s="181">
        <f>15*$B$10</f>
        <v>30</v>
      </c>
      <c r="F140" s="17">
        <v>125</v>
      </c>
      <c r="G140" s="27">
        <f t="shared" si="93"/>
        <v>3750</v>
      </c>
      <c r="H140" s="181">
        <f>15*$B$10</f>
        <v>30</v>
      </c>
      <c r="I140" s="17">
        <f t="shared" si="94"/>
        <v>125</v>
      </c>
      <c r="J140" s="17">
        <f t="shared" si="95"/>
        <v>3750</v>
      </c>
      <c r="K140" s="181">
        <f>15*$B$10</f>
        <v>30</v>
      </c>
      <c r="L140" s="17">
        <f t="shared" si="96"/>
        <v>128.75</v>
      </c>
      <c r="M140" s="27">
        <f t="shared" si="97"/>
        <v>3863</v>
      </c>
      <c r="N140" s="181">
        <f>15*$B$10</f>
        <v>30</v>
      </c>
      <c r="O140" s="17">
        <f t="shared" si="98"/>
        <v>132.61250000000001</v>
      </c>
      <c r="P140" s="27">
        <f t="shared" si="99"/>
        <v>3978</v>
      </c>
      <c r="Q140" s="53">
        <f t="shared" si="100"/>
        <v>120</v>
      </c>
      <c r="R140" s="19">
        <f>G140+J140+M140+P140</f>
        <v>15341</v>
      </c>
      <c r="S140" s="73"/>
    </row>
    <row r="141" spans="1:19" x14ac:dyDescent="0.25">
      <c r="A141" s="170" t="s">
        <v>856</v>
      </c>
      <c r="B141" s="108"/>
      <c r="C141" s="107" t="s">
        <v>857</v>
      </c>
      <c r="D141" s="114" t="s">
        <v>858</v>
      </c>
      <c r="E141" s="181">
        <f>5*$B$10</f>
        <v>10</v>
      </c>
      <c r="F141" s="17">
        <v>0</v>
      </c>
      <c r="G141" s="27">
        <f t="shared" si="93"/>
        <v>0</v>
      </c>
      <c r="H141" s="181">
        <f>5*$B$10</f>
        <v>10</v>
      </c>
      <c r="I141" s="17">
        <f t="shared" si="94"/>
        <v>0</v>
      </c>
      <c r="J141" s="17">
        <f t="shared" si="95"/>
        <v>0</v>
      </c>
      <c r="K141" s="181">
        <f>5*$B$10</f>
        <v>10</v>
      </c>
      <c r="L141" s="17">
        <f t="shared" si="96"/>
        <v>0</v>
      </c>
      <c r="M141" s="27">
        <f t="shared" si="97"/>
        <v>0</v>
      </c>
      <c r="N141" s="181">
        <f>5*$B$10</f>
        <v>10</v>
      </c>
      <c r="O141" s="17">
        <f t="shared" si="98"/>
        <v>0</v>
      </c>
      <c r="P141" s="27">
        <f t="shared" si="99"/>
        <v>0</v>
      </c>
      <c r="Q141" s="53">
        <f t="shared" si="100"/>
        <v>40</v>
      </c>
      <c r="R141" s="19">
        <f>G141+J141+M141+P141</f>
        <v>0</v>
      </c>
      <c r="S141" s="73"/>
    </row>
    <row r="142" spans="1:19" x14ac:dyDescent="0.25">
      <c r="A142" s="161" t="s">
        <v>859</v>
      </c>
      <c r="B142" s="108"/>
      <c r="C142" s="107"/>
      <c r="D142" s="114"/>
      <c r="E142" s="57"/>
      <c r="F142" s="17"/>
      <c r="G142" s="27"/>
      <c r="H142" s="57"/>
      <c r="I142" s="17"/>
      <c r="J142" s="17"/>
      <c r="K142" s="57"/>
      <c r="L142" s="17"/>
      <c r="M142" s="27"/>
      <c r="N142" s="57"/>
      <c r="O142" s="17"/>
      <c r="P142" s="27"/>
      <c r="Q142" s="53"/>
      <c r="R142" s="32"/>
      <c r="S142" s="73"/>
    </row>
    <row r="143" spans="1:19" x14ac:dyDescent="0.25">
      <c r="A143" s="176" t="s">
        <v>860</v>
      </c>
      <c r="B143" s="108"/>
      <c r="C143" s="107" t="s">
        <v>861</v>
      </c>
      <c r="D143" s="114" t="s">
        <v>862</v>
      </c>
      <c r="E143" s="57">
        <v>5</v>
      </c>
      <c r="F143" s="17">
        <v>200</v>
      </c>
      <c r="G143" s="27">
        <f t="shared" ref="G143:G146" si="101">ROUND((+E143*F143),0)</f>
        <v>1000</v>
      </c>
      <c r="H143" s="57">
        <v>5</v>
      </c>
      <c r="I143" s="17">
        <f t="shared" ref="I143:I146" si="102">F143</f>
        <v>200</v>
      </c>
      <c r="J143" s="17">
        <f t="shared" ref="J143:J146" si="103">ROUND((+H143*I143),0)</f>
        <v>1000</v>
      </c>
      <c r="K143" s="57">
        <v>5</v>
      </c>
      <c r="L143" s="17">
        <f t="shared" ref="L143:L146" si="104">I143*(1+$B$9)</f>
        <v>206</v>
      </c>
      <c r="M143" s="27">
        <f t="shared" ref="M143:M146" si="105">ROUND((+K143*L143),0)</f>
        <v>1030</v>
      </c>
      <c r="N143" s="57">
        <v>5</v>
      </c>
      <c r="O143" s="17">
        <f t="shared" ref="O143:O146" si="106">L143*(1+$B$9)</f>
        <v>212.18</v>
      </c>
      <c r="P143" s="27">
        <f t="shared" ref="P143:P146" si="107">ROUND((+N143*O143),0)</f>
        <v>1061</v>
      </c>
      <c r="Q143" s="53">
        <f t="shared" ref="Q143:Q146" si="108">E143+H143+K143+N143</f>
        <v>20</v>
      </c>
      <c r="R143" s="19">
        <f>G143+J143+M143+P143</f>
        <v>4091</v>
      </c>
      <c r="S143" s="73"/>
    </row>
    <row r="144" spans="1:19" x14ac:dyDescent="0.25">
      <c r="A144" s="170" t="s">
        <v>863</v>
      </c>
      <c r="B144" s="108"/>
      <c r="C144" s="107" t="s">
        <v>864</v>
      </c>
      <c r="D144" s="114" t="s">
        <v>865</v>
      </c>
      <c r="E144" s="181">
        <f>(5*$B$10)+1+2+($B$10)</f>
        <v>15</v>
      </c>
      <c r="F144" s="17">
        <v>60</v>
      </c>
      <c r="G144" s="27">
        <f t="shared" si="101"/>
        <v>900</v>
      </c>
      <c r="H144" s="181">
        <f>(5*$B$10)+1+2+($B$10)</f>
        <v>15</v>
      </c>
      <c r="I144" s="17">
        <f t="shared" si="102"/>
        <v>60</v>
      </c>
      <c r="J144" s="17">
        <f t="shared" si="103"/>
        <v>900</v>
      </c>
      <c r="K144" s="181">
        <f>(5*$B$10)+1+2+($B$10)</f>
        <v>15</v>
      </c>
      <c r="L144" s="17">
        <f t="shared" si="104"/>
        <v>61.800000000000004</v>
      </c>
      <c r="M144" s="27">
        <f t="shared" si="105"/>
        <v>927</v>
      </c>
      <c r="N144" s="181">
        <f>(5*$B$10)+1+2+($B$10)</f>
        <v>15</v>
      </c>
      <c r="O144" s="17">
        <f t="shared" si="106"/>
        <v>63.654000000000003</v>
      </c>
      <c r="P144" s="27">
        <f t="shared" si="107"/>
        <v>955</v>
      </c>
      <c r="Q144" s="53">
        <f t="shared" si="108"/>
        <v>60</v>
      </c>
      <c r="R144" s="19">
        <f>G144+J144+M144+P144</f>
        <v>3682</v>
      </c>
      <c r="S144" s="73"/>
    </row>
    <row r="145" spans="1:59" x14ac:dyDescent="0.25">
      <c r="A145" s="176" t="s">
        <v>866</v>
      </c>
      <c r="B145" s="108"/>
      <c r="C145" s="107" t="s">
        <v>867</v>
      </c>
      <c r="D145" s="114" t="s">
        <v>868</v>
      </c>
      <c r="E145" s="181">
        <f>((5*$B$10)*5)</f>
        <v>50</v>
      </c>
      <c r="F145" s="17">
        <v>150</v>
      </c>
      <c r="G145" s="27">
        <f t="shared" si="101"/>
        <v>7500</v>
      </c>
      <c r="H145" s="181">
        <f>((5*$B$10)*5)</f>
        <v>50</v>
      </c>
      <c r="I145" s="17">
        <f t="shared" si="102"/>
        <v>150</v>
      </c>
      <c r="J145" s="17">
        <f t="shared" si="103"/>
        <v>7500</v>
      </c>
      <c r="K145" s="181">
        <f>((5*$B$10)*5)</f>
        <v>50</v>
      </c>
      <c r="L145" s="17">
        <f t="shared" si="104"/>
        <v>154.5</v>
      </c>
      <c r="M145" s="27">
        <f t="shared" si="105"/>
        <v>7725</v>
      </c>
      <c r="N145" s="181">
        <f>((5*$B$10)*5)</f>
        <v>50</v>
      </c>
      <c r="O145" s="17">
        <f t="shared" si="106"/>
        <v>159.13499999999999</v>
      </c>
      <c r="P145" s="27">
        <f t="shared" si="107"/>
        <v>7957</v>
      </c>
      <c r="Q145" s="53">
        <f t="shared" si="108"/>
        <v>200</v>
      </c>
      <c r="R145" s="19">
        <f>G145+J145+M145+P145</f>
        <v>30682</v>
      </c>
      <c r="S145" s="73"/>
    </row>
    <row r="146" spans="1:59" x14ac:dyDescent="0.25">
      <c r="A146" s="170" t="s">
        <v>869</v>
      </c>
      <c r="B146" s="108"/>
      <c r="C146" s="107" t="s">
        <v>870</v>
      </c>
      <c r="D146" s="114" t="s">
        <v>871</v>
      </c>
      <c r="E146" s="181">
        <f>(5*$B$10)</f>
        <v>10</v>
      </c>
      <c r="F146" s="17">
        <v>50</v>
      </c>
      <c r="G146" s="27">
        <f t="shared" si="101"/>
        <v>500</v>
      </c>
      <c r="H146" s="181">
        <f>(5*$B$10)</f>
        <v>10</v>
      </c>
      <c r="I146" s="17">
        <f t="shared" si="102"/>
        <v>50</v>
      </c>
      <c r="J146" s="17">
        <f t="shared" si="103"/>
        <v>500</v>
      </c>
      <c r="K146" s="181">
        <f>(5*$B$10)</f>
        <v>10</v>
      </c>
      <c r="L146" s="17">
        <f t="shared" si="104"/>
        <v>51.5</v>
      </c>
      <c r="M146" s="27">
        <f t="shared" si="105"/>
        <v>515</v>
      </c>
      <c r="N146" s="181">
        <f>(5*$B$10)</f>
        <v>10</v>
      </c>
      <c r="O146" s="17">
        <f t="shared" si="106"/>
        <v>53.045000000000002</v>
      </c>
      <c r="P146" s="27">
        <f t="shared" si="107"/>
        <v>530</v>
      </c>
      <c r="Q146" s="53">
        <f t="shared" si="108"/>
        <v>40</v>
      </c>
      <c r="R146" s="19">
        <f>G146+J146+M146+P146</f>
        <v>2045</v>
      </c>
      <c r="S146" s="73"/>
    </row>
    <row r="147" spans="1:59" x14ac:dyDescent="0.25">
      <c r="A147" s="177"/>
      <c r="B147" s="108"/>
      <c r="C147" s="107"/>
      <c r="D147" s="114"/>
      <c r="E147" s="57"/>
      <c r="F147" s="17"/>
      <c r="G147" s="27"/>
      <c r="H147" s="56"/>
      <c r="I147" s="17"/>
      <c r="J147" s="17"/>
      <c r="K147" s="57"/>
      <c r="L147" s="17"/>
      <c r="M147" s="27"/>
      <c r="N147" s="57"/>
      <c r="O147" s="17"/>
      <c r="P147" s="27"/>
      <c r="Q147" s="53"/>
      <c r="R147" s="32"/>
      <c r="S147" s="73"/>
    </row>
    <row r="148" spans="1:59" x14ac:dyDescent="0.25">
      <c r="A148" s="173" t="s">
        <v>872</v>
      </c>
      <c r="B148" s="108"/>
      <c r="C148" s="107"/>
      <c r="D148" s="114"/>
      <c r="E148" s="57"/>
      <c r="F148" s="17"/>
      <c r="G148" s="27"/>
      <c r="H148" s="56"/>
      <c r="I148" s="17"/>
      <c r="J148" s="17"/>
      <c r="K148" s="57"/>
      <c r="L148" s="17"/>
      <c r="M148" s="27"/>
      <c r="N148" s="57"/>
      <c r="O148" s="17"/>
      <c r="P148" s="27"/>
      <c r="Q148" s="53"/>
      <c r="R148" s="19"/>
      <c r="S148" s="73"/>
    </row>
    <row r="149" spans="1:59" x14ac:dyDescent="0.25">
      <c r="A149" s="161" t="s">
        <v>873</v>
      </c>
      <c r="B149" s="16"/>
      <c r="C149" s="10"/>
      <c r="D149" s="112"/>
      <c r="E149" s="57"/>
      <c r="F149" s="17"/>
      <c r="G149" s="27"/>
      <c r="H149" s="56"/>
      <c r="I149" s="17"/>
      <c r="J149" s="17"/>
      <c r="K149" s="57"/>
      <c r="L149" s="17"/>
      <c r="M149" s="27"/>
      <c r="N149" s="57"/>
      <c r="O149" s="17"/>
      <c r="P149" s="27"/>
      <c r="Q149" s="53"/>
      <c r="R149" s="19"/>
      <c r="S149" s="73"/>
    </row>
    <row r="150" spans="1:59" x14ac:dyDescent="0.25">
      <c r="A150" s="170" t="s">
        <v>874</v>
      </c>
      <c r="B150" s="108"/>
      <c r="C150" s="107" t="s">
        <v>875</v>
      </c>
      <c r="D150" s="114" t="s">
        <v>876</v>
      </c>
      <c r="E150" s="181">
        <f>(15*1)*$B$10</f>
        <v>30</v>
      </c>
      <c r="F150" s="17">
        <v>175</v>
      </c>
      <c r="G150" s="27">
        <f t="shared" ref="G150:G156" si="109">ROUND((+E150*F150),0)</f>
        <v>5250</v>
      </c>
      <c r="H150" s="181">
        <f>(15*1)*$B$10</f>
        <v>30</v>
      </c>
      <c r="I150" s="17">
        <f t="shared" ref="I150:I156" si="110">F150</f>
        <v>175</v>
      </c>
      <c r="J150" s="17">
        <f t="shared" ref="J150:J156" si="111">ROUND((+H150*I150),0)</f>
        <v>5250</v>
      </c>
      <c r="K150" s="181">
        <f>(15*1)*$B$10</f>
        <v>30</v>
      </c>
      <c r="L150" s="17">
        <f t="shared" ref="L150:L156" si="112">I150*(1+$B$9)</f>
        <v>180.25</v>
      </c>
      <c r="M150" s="27">
        <f t="shared" ref="M150:M156" si="113">ROUND((+K150*L150),0)</f>
        <v>5408</v>
      </c>
      <c r="N150" s="181">
        <f>(15*1)*$B$10</f>
        <v>30</v>
      </c>
      <c r="O150" s="17">
        <f t="shared" ref="O150:O156" si="114">L150*(1+$B$9)</f>
        <v>185.6575</v>
      </c>
      <c r="P150" s="27">
        <f t="shared" ref="P150:P156" si="115">ROUND((+N150*O150),0)</f>
        <v>5570</v>
      </c>
      <c r="Q150" s="53">
        <f t="shared" ref="Q150:Q156" si="116">E150+H150+K150+N150</f>
        <v>120</v>
      </c>
      <c r="R150" s="19">
        <f t="shared" ref="R150:R156" si="117">G150+J150+M150+P150</f>
        <v>21478</v>
      </c>
      <c r="S150" s="73"/>
    </row>
    <row r="151" spans="1:59" x14ac:dyDescent="0.25">
      <c r="A151" s="170" t="s">
        <v>877</v>
      </c>
      <c r="B151" s="108"/>
      <c r="C151" s="107" t="s">
        <v>878</v>
      </c>
      <c r="D151" s="114" t="s">
        <v>879</v>
      </c>
      <c r="E151" s="181">
        <f>(15*3)*$B$10</f>
        <v>90</v>
      </c>
      <c r="F151" s="17">
        <v>125</v>
      </c>
      <c r="G151" s="27">
        <f t="shared" si="109"/>
        <v>11250</v>
      </c>
      <c r="H151" s="181">
        <f>(15*3)*$B$10</f>
        <v>90</v>
      </c>
      <c r="I151" s="17">
        <f t="shared" si="110"/>
        <v>125</v>
      </c>
      <c r="J151" s="17">
        <f t="shared" si="111"/>
        <v>11250</v>
      </c>
      <c r="K151" s="181">
        <f>(15*3)*$B$10</f>
        <v>90</v>
      </c>
      <c r="L151" s="17">
        <f t="shared" si="112"/>
        <v>128.75</v>
      </c>
      <c r="M151" s="27">
        <f t="shared" si="113"/>
        <v>11588</v>
      </c>
      <c r="N151" s="181">
        <f>(15*3)*$B$10</f>
        <v>90</v>
      </c>
      <c r="O151" s="17">
        <f t="shared" si="114"/>
        <v>132.61250000000001</v>
      </c>
      <c r="P151" s="27">
        <f t="shared" si="115"/>
        <v>11935</v>
      </c>
      <c r="Q151" s="53">
        <f t="shared" si="116"/>
        <v>360</v>
      </c>
      <c r="R151" s="19">
        <f t="shared" si="117"/>
        <v>46023</v>
      </c>
      <c r="S151" s="73"/>
    </row>
    <row r="152" spans="1:59" x14ac:dyDescent="0.25">
      <c r="A152" s="170" t="s">
        <v>880</v>
      </c>
      <c r="B152" s="108"/>
      <c r="C152" s="107" t="s">
        <v>881</v>
      </c>
      <c r="D152" s="114" t="s">
        <v>882</v>
      </c>
      <c r="E152" s="181">
        <f>(15)*$B$10</f>
        <v>30</v>
      </c>
      <c r="F152" s="17">
        <v>0</v>
      </c>
      <c r="G152" s="27">
        <f t="shared" si="109"/>
        <v>0</v>
      </c>
      <c r="H152" s="181">
        <f>(15*2)*$B$10</f>
        <v>60</v>
      </c>
      <c r="I152" s="17">
        <f t="shared" si="110"/>
        <v>0</v>
      </c>
      <c r="J152" s="17">
        <f t="shared" si="111"/>
        <v>0</v>
      </c>
      <c r="K152" s="181">
        <f>(15*2)*$B$10</f>
        <v>60</v>
      </c>
      <c r="L152" s="17">
        <f t="shared" si="112"/>
        <v>0</v>
      </c>
      <c r="M152" s="27">
        <f t="shared" si="113"/>
        <v>0</v>
      </c>
      <c r="N152" s="181">
        <f>(15*2)*$B$10</f>
        <v>60</v>
      </c>
      <c r="O152" s="17">
        <f t="shared" si="114"/>
        <v>0</v>
      </c>
      <c r="P152" s="27">
        <f t="shared" si="115"/>
        <v>0</v>
      </c>
      <c r="Q152" s="53">
        <f t="shared" si="116"/>
        <v>210</v>
      </c>
      <c r="R152" s="19">
        <f t="shared" si="117"/>
        <v>0</v>
      </c>
      <c r="S152" s="73"/>
    </row>
    <row r="153" spans="1:59" x14ac:dyDescent="0.25">
      <c r="A153" s="161" t="s">
        <v>883</v>
      </c>
      <c r="B153" s="108"/>
      <c r="C153" s="107"/>
      <c r="D153" s="114"/>
      <c r="E153" s="57"/>
      <c r="F153" s="17"/>
      <c r="G153" s="27"/>
      <c r="H153" s="56"/>
      <c r="I153" s="17"/>
      <c r="J153" s="17"/>
      <c r="K153" s="57"/>
      <c r="L153" s="17"/>
      <c r="M153" s="27"/>
      <c r="N153" s="57"/>
      <c r="O153" s="17"/>
      <c r="P153" s="27"/>
      <c r="Q153" s="53"/>
      <c r="R153" s="32"/>
      <c r="S153" s="73"/>
    </row>
    <row r="154" spans="1:59" x14ac:dyDescent="0.25">
      <c r="A154" s="176" t="s">
        <v>884</v>
      </c>
      <c r="B154" s="108"/>
      <c r="C154" s="107" t="s">
        <v>885</v>
      </c>
      <c r="D154" s="114" t="s">
        <v>886</v>
      </c>
      <c r="E154" s="181">
        <f>(15*5)*$B$10</f>
        <v>150</v>
      </c>
      <c r="F154" s="17">
        <v>150</v>
      </c>
      <c r="G154" s="27">
        <f t="shared" ref="G154" si="118">ROUND((+E154*F154),0)</f>
        <v>22500</v>
      </c>
      <c r="H154" s="181">
        <f>$B$10*5*15</f>
        <v>150</v>
      </c>
      <c r="I154" s="17">
        <f>F154</f>
        <v>150</v>
      </c>
      <c r="J154" s="17">
        <f t="shared" ref="J154" si="119">ROUND((+H154*I154),0)</f>
        <v>22500</v>
      </c>
      <c r="K154" s="181">
        <f>$B$10*5*15</f>
        <v>150</v>
      </c>
      <c r="L154" s="17">
        <f t="shared" ref="L154" si="120">I154*(1+$B$9)</f>
        <v>154.5</v>
      </c>
      <c r="M154" s="27">
        <f t="shared" ref="M154" si="121">ROUND((+K154*L154),0)</f>
        <v>23175</v>
      </c>
      <c r="N154" s="181">
        <f>$B$10*5*15</f>
        <v>150</v>
      </c>
      <c r="O154" s="17">
        <f t="shared" ref="O154" si="122">L154*(1+$B$9)</f>
        <v>159.13499999999999</v>
      </c>
      <c r="P154" s="27">
        <f t="shared" ref="P154" si="123">ROUND((+N154*O154),0)</f>
        <v>23870</v>
      </c>
      <c r="Q154" s="53">
        <f t="shared" ref="Q154" si="124">E154+H154+K154+N154</f>
        <v>600</v>
      </c>
      <c r="R154" s="19">
        <f>G154+J154+M154+P154</f>
        <v>92045</v>
      </c>
      <c r="S154" s="73"/>
    </row>
    <row r="155" spans="1:59" x14ac:dyDescent="0.25">
      <c r="A155" s="170" t="s">
        <v>887</v>
      </c>
      <c r="B155" s="108"/>
      <c r="C155" s="107" t="s">
        <v>888</v>
      </c>
      <c r="D155" s="114" t="s">
        <v>889</v>
      </c>
      <c r="E155" s="181">
        <f>15*$B$10</f>
        <v>30</v>
      </c>
      <c r="F155" s="17">
        <v>200</v>
      </c>
      <c r="G155" s="27">
        <f t="shared" si="109"/>
        <v>6000</v>
      </c>
      <c r="H155" s="179">
        <f>15*$B$10</f>
        <v>30</v>
      </c>
      <c r="I155" s="17">
        <f t="shared" si="110"/>
        <v>200</v>
      </c>
      <c r="J155" s="17">
        <f t="shared" si="111"/>
        <v>6000</v>
      </c>
      <c r="K155" s="179">
        <f>15*$B$10</f>
        <v>30</v>
      </c>
      <c r="L155" s="17">
        <f t="shared" si="112"/>
        <v>206</v>
      </c>
      <c r="M155" s="27">
        <f t="shared" si="113"/>
        <v>6180</v>
      </c>
      <c r="N155" s="179">
        <f>15*$B$10</f>
        <v>30</v>
      </c>
      <c r="O155" s="17">
        <f t="shared" si="114"/>
        <v>212.18</v>
      </c>
      <c r="P155" s="27">
        <f t="shared" si="115"/>
        <v>6365</v>
      </c>
      <c r="Q155" s="53">
        <f t="shared" si="116"/>
        <v>120</v>
      </c>
      <c r="R155" s="19">
        <f t="shared" si="117"/>
        <v>24545</v>
      </c>
      <c r="S155" s="73"/>
    </row>
    <row r="156" spans="1:59" x14ac:dyDescent="0.25">
      <c r="A156" s="30" t="s">
        <v>890</v>
      </c>
      <c r="B156" s="16"/>
      <c r="C156" s="10"/>
      <c r="D156" s="112" t="s">
        <v>891</v>
      </c>
      <c r="E156" s="181">
        <v>1</v>
      </c>
      <c r="F156" s="17">
        <v>2000</v>
      </c>
      <c r="G156" s="27">
        <f t="shared" si="109"/>
        <v>2000</v>
      </c>
      <c r="H156" s="179">
        <v>1</v>
      </c>
      <c r="I156" s="17">
        <f t="shared" si="110"/>
        <v>2000</v>
      </c>
      <c r="J156" s="17">
        <f t="shared" si="111"/>
        <v>2000</v>
      </c>
      <c r="K156" s="179">
        <v>1</v>
      </c>
      <c r="L156" s="17">
        <f t="shared" si="112"/>
        <v>2060</v>
      </c>
      <c r="M156" s="27">
        <f t="shared" si="113"/>
        <v>2060</v>
      </c>
      <c r="N156" s="179">
        <v>1</v>
      </c>
      <c r="O156" s="17">
        <f t="shared" si="114"/>
        <v>2121.8000000000002</v>
      </c>
      <c r="P156" s="27">
        <f t="shared" si="115"/>
        <v>2122</v>
      </c>
      <c r="Q156" s="53">
        <f t="shared" si="116"/>
        <v>4</v>
      </c>
      <c r="R156" s="19">
        <f t="shared" si="117"/>
        <v>8182</v>
      </c>
      <c r="S156" s="73"/>
    </row>
    <row r="157" spans="1:59" x14ac:dyDescent="0.25">
      <c r="A157" s="38"/>
      <c r="B157" s="18"/>
      <c r="C157" s="18"/>
      <c r="D157" s="115"/>
      <c r="E157" s="83"/>
      <c r="F157" s="19"/>
      <c r="G157" s="103"/>
      <c r="H157" s="58"/>
      <c r="I157" s="19"/>
      <c r="J157" s="31"/>
      <c r="K157" s="83"/>
      <c r="L157" s="19"/>
      <c r="M157" s="103"/>
      <c r="N157" s="83"/>
      <c r="O157" s="19"/>
      <c r="P157" s="103"/>
      <c r="Q157" s="53"/>
      <c r="R157" s="19" t="s">
        <v>892</v>
      </c>
      <c r="S157" s="73"/>
    </row>
    <row r="158" spans="1:59" s="39" customFormat="1" x14ac:dyDescent="0.25">
      <c r="A158" s="178" t="s">
        <v>893</v>
      </c>
      <c r="B158" s="33"/>
      <c r="C158" s="33"/>
      <c r="D158" s="117"/>
      <c r="E158" s="86"/>
      <c r="F158" s="32"/>
      <c r="G158" s="49">
        <f>SUM(G124:G157)</f>
        <v>62900</v>
      </c>
      <c r="H158" s="60"/>
      <c r="I158" s="32"/>
      <c r="J158" s="32">
        <f>SUM(J124:J157)</f>
        <v>62400</v>
      </c>
      <c r="K158" s="86"/>
      <c r="L158" s="32"/>
      <c r="M158" s="49">
        <f>SUM(M124:M157)</f>
        <v>64274</v>
      </c>
      <c r="N158" s="86"/>
      <c r="O158" s="32"/>
      <c r="P158" s="49">
        <f>SUM(P124:P157)</f>
        <v>78931</v>
      </c>
      <c r="Q158" s="53"/>
      <c r="R158" s="19">
        <f>G158+J158+M158+P158</f>
        <v>268505</v>
      </c>
      <c r="S158" s="78">
        <f>SUM(R124:R156)</f>
        <v>268505</v>
      </c>
    </row>
    <row r="159" spans="1:59" x14ac:dyDescent="0.25">
      <c r="A159" s="38"/>
      <c r="B159" s="18"/>
      <c r="C159" s="18"/>
      <c r="D159" s="115"/>
      <c r="E159" s="89"/>
      <c r="F159" s="19"/>
      <c r="G159" s="96"/>
      <c r="H159" s="68"/>
      <c r="I159" s="19"/>
      <c r="J159" s="19"/>
      <c r="K159" s="89"/>
      <c r="L159" s="19"/>
      <c r="M159" s="96"/>
      <c r="N159" s="89"/>
      <c r="O159" s="19"/>
      <c r="P159" s="96"/>
      <c r="Q159" s="53"/>
      <c r="R159" s="19"/>
      <c r="S159" s="73"/>
    </row>
    <row r="160" spans="1:59" s="4" customFormat="1" ht="16.5" thickBot="1" x14ac:dyDescent="0.3">
      <c r="A160" s="48" t="s">
        <v>894</v>
      </c>
      <c r="B160" s="24"/>
      <c r="C160" s="24"/>
      <c r="D160" s="116"/>
      <c r="E160" s="93"/>
      <c r="F160" s="25"/>
      <c r="G160" s="46">
        <f>+G158</f>
        <v>62900</v>
      </c>
      <c r="H160" s="64"/>
      <c r="I160" s="25"/>
      <c r="J160" s="25">
        <f>+J158</f>
        <v>62400</v>
      </c>
      <c r="K160" s="93"/>
      <c r="L160" s="25"/>
      <c r="M160" s="46">
        <f>+M158</f>
        <v>64274</v>
      </c>
      <c r="N160" s="93"/>
      <c r="O160" s="25"/>
      <c r="P160" s="46">
        <f>+P158</f>
        <v>78931</v>
      </c>
      <c r="Q160" s="24"/>
      <c r="R160" s="25">
        <f>+R158</f>
        <v>268505</v>
      </c>
      <c r="S160" s="73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.5" thickTop="1" x14ac:dyDescent="0.25">
      <c r="A161" s="38"/>
      <c r="B161" s="18"/>
      <c r="C161" s="18"/>
      <c r="D161" s="115"/>
      <c r="E161" s="89"/>
      <c r="F161" s="19"/>
      <c r="G161" s="96"/>
      <c r="H161" s="68"/>
      <c r="I161" s="19"/>
      <c r="J161" s="19"/>
      <c r="K161" s="89"/>
      <c r="L161" s="19"/>
      <c r="M161" s="96"/>
      <c r="N161" s="89"/>
      <c r="O161" s="19"/>
      <c r="P161" s="96"/>
      <c r="Q161" s="18"/>
      <c r="R161" s="19"/>
      <c r="S161" s="7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x14ac:dyDescent="0.25">
      <c r="A162" s="38" t="s">
        <v>895</v>
      </c>
      <c r="B162" s="10"/>
      <c r="C162" s="10"/>
      <c r="D162" s="112"/>
      <c r="E162" s="57"/>
      <c r="F162" s="17"/>
      <c r="G162" s="96">
        <f>G41+G47+G83+G88+G94+G118+G160</f>
        <v>112510</v>
      </c>
      <c r="H162" s="58"/>
      <c r="I162" s="19"/>
      <c r="J162" s="19">
        <f>J41+J47+J83+J88+J94+J118+J160</f>
        <v>93160</v>
      </c>
      <c r="K162" s="83"/>
      <c r="L162" s="19"/>
      <c r="M162" s="96">
        <f>M41+M47+M83+M88+M94+M118+M160</f>
        <v>95959</v>
      </c>
      <c r="N162" s="83"/>
      <c r="O162" s="19"/>
      <c r="P162" s="96">
        <f>P41+P47+P83+P88+P94+P118+P160</f>
        <v>112467</v>
      </c>
      <c r="Q162" s="18"/>
      <c r="R162" s="19">
        <f>R41+R47+R83+R88+R94+R118+R160</f>
        <v>414096</v>
      </c>
      <c r="S162" s="73">
        <f>G162+J162+M162+P162</f>
        <v>414096</v>
      </c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 ht="16.5" thickBot="1" x14ac:dyDescent="0.3">
      <c r="A163" s="48"/>
      <c r="B163" s="24"/>
      <c r="C163" s="24"/>
      <c r="D163" s="116"/>
      <c r="E163" s="93"/>
      <c r="F163" s="25"/>
      <c r="G163" s="46"/>
      <c r="H163" s="64"/>
      <c r="I163" s="25"/>
      <c r="J163" s="25"/>
      <c r="K163" s="93"/>
      <c r="L163" s="25"/>
      <c r="M163" s="46"/>
      <c r="N163" s="93"/>
      <c r="O163" s="25"/>
      <c r="P163" s="46"/>
      <c r="Q163" s="24" t="s">
        <v>896</v>
      </c>
      <c r="R163" s="25"/>
      <c r="S163" s="73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ht="16.5" thickTop="1" x14ac:dyDescent="0.25">
      <c r="A164" s="74"/>
      <c r="B164" s="10"/>
      <c r="C164" s="10"/>
      <c r="D164" s="112"/>
      <c r="E164" s="57"/>
      <c r="F164" s="17"/>
      <c r="G164" s="27"/>
      <c r="H164" s="56"/>
      <c r="I164" s="17"/>
      <c r="J164" s="17"/>
      <c r="K164" s="57"/>
      <c r="L164" s="17"/>
      <c r="M164" s="27"/>
      <c r="N164" s="57"/>
      <c r="O164" s="17"/>
      <c r="P164" s="27"/>
      <c r="Q164" s="18"/>
      <c r="R164" s="17"/>
      <c r="S164" s="7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x14ac:dyDescent="0.25">
      <c r="A165" s="38" t="s">
        <v>897</v>
      </c>
      <c r="B165" s="10" t="s">
        <v>898</v>
      </c>
      <c r="C165" s="106">
        <f>$B$8</f>
        <v>0.25</v>
      </c>
      <c r="D165" s="140"/>
      <c r="E165" s="57"/>
      <c r="F165" s="17"/>
      <c r="G165" s="96">
        <f>G162*$C$165</f>
        <v>28127.5</v>
      </c>
      <c r="H165" s="58"/>
      <c r="I165" s="19"/>
      <c r="J165" s="19">
        <f>J162*$C$165</f>
        <v>23290</v>
      </c>
      <c r="K165" s="83"/>
      <c r="L165" s="19"/>
      <c r="M165" s="96">
        <f>M162*$C$165</f>
        <v>23989.75</v>
      </c>
      <c r="N165" s="83"/>
      <c r="O165" s="19"/>
      <c r="P165" s="96">
        <f>P162*$C$165</f>
        <v>28116.75</v>
      </c>
      <c r="Q165" s="18"/>
      <c r="R165" s="19">
        <f>R162*$C$165</f>
        <v>103524</v>
      </c>
      <c r="S165" s="73">
        <f>G165+J165+M165+P165</f>
        <v>103524</v>
      </c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66" spans="1:59" s="4" customFormat="1" ht="16.5" thickBot="1" x14ac:dyDescent="0.3">
      <c r="A166" s="48"/>
      <c r="B166" s="24"/>
      <c r="C166" s="24"/>
      <c r="D166" s="116"/>
      <c r="E166" s="93"/>
      <c r="F166" s="25"/>
      <c r="G166" s="46"/>
      <c r="H166" s="64"/>
      <c r="I166" s="25"/>
      <c r="J166" s="25"/>
      <c r="K166" s="93"/>
      <c r="L166" s="25"/>
      <c r="M166" s="46"/>
      <c r="N166" s="93"/>
      <c r="O166" s="25"/>
      <c r="P166" s="46"/>
      <c r="Q166" s="24"/>
      <c r="R166" s="25"/>
      <c r="S166" s="73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s="4" customFormat="1" ht="16.5" thickTop="1" x14ac:dyDescent="0.25">
      <c r="A167" s="38"/>
      <c r="B167" s="18"/>
      <c r="C167" s="18"/>
      <c r="D167" s="115"/>
      <c r="E167" s="83"/>
      <c r="F167" s="19"/>
      <c r="G167" s="96"/>
      <c r="H167" s="58"/>
      <c r="I167" s="19"/>
      <c r="J167" s="19"/>
      <c r="K167" s="83"/>
      <c r="L167" s="19"/>
      <c r="M167" s="96"/>
      <c r="N167" s="83"/>
      <c r="O167" s="19"/>
      <c r="P167" s="96"/>
      <c r="Q167" s="18"/>
      <c r="R167" s="19"/>
      <c r="S167" s="73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</row>
    <row r="168" spans="1:59" s="4" customFormat="1" x14ac:dyDescent="0.25">
      <c r="A168" s="38" t="s">
        <v>899</v>
      </c>
      <c r="B168" s="18"/>
      <c r="C168" s="18"/>
      <c r="D168" s="115"/>
      <c r="E168" s="83"/>
      <c r="F168" s="19"/>
      <c r="G168" s="104">
        <f>G162+G165</f>
        <v>140637.5</v>
      </c>
      <c r="H168" s="58"/>
      <c r="I168" s="40"/>
      <c r="J168" s="40">
        <f>J162+J165</f>
        <v>116450</v>
      </c>
      <c r="K168" s="83"/>
      <c r="L168" s="40"/>
      <c r="M168" s="104">
        <f>M162+M165</f>
        <v>119948.75</v>
      </c>
      <c r="N168" s="83"/>
      <c r="O168" s="40"/>
      <c r="P168" s="104">
        <f>P162+P165</f>
        <v>140583.75</v>
      </c>
      <c r="Q168" s="18"/>
      <c r="R168" s="40">
        <f>R162+R165</f>
        <v>517620</v>
      </c>
      <c r="S168" s="73">
        <f>SUM(G162:P165)</f>
        <v>517620</v>
      </c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</row>
    <row r="169" spans="1:59" s="4" customFormat="1" ht="16.5" thickBot="1" x14ac:dyDescent="0.3">
      <c r="A169" s="169" t="s">
        <v>900</v>
      </c>
      <c r="B169" s="13"/>
      <c r="C169" s="13"/>
      <c r="D169" s="113"/>
      <c r="E169" s="94"/>
      <c r="F169" s="21"/>
      <c r="G169" s="105"/>
      <c r="H169" s="69"/>
      <c r="I169" s="21"/>
      <c r="J169" s="41"/>
      <c r="K169" s="94"/>
      <c r="L169" s="21"/>
      <c r="M169" s="105"/>
      <c r="N169" s="94"/>
      <c r="O169" s="21"/>
      <c r="P169" s="105"/>
      <c r="Q169" s="24"/>
      <c r="R169" s="41"/>
      <c r="S169" s="73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</row>
    <row r="170" spans="1:59" s="4" customFormat="1" ht="16.5" thickTop="1" x14ac:dyDescent="0.25">
      <c r="A170" s="1" t="s">
        <v>901</v>
      </c>
      <c r="B170" s="1"/>
      <c r="C170" s="139"/>
      <c r="D170" s="139"/>
      <c r="E170" s="50"/>
      <c r="F170" s="1"/>
      <c r="G170" s="1"/>
      <c r="H170" s="50"/>
      <c r="I170" s="1"/>
      <c r="J170" s="1"/>
      <c r="K170" s="50"/>
      <c r="L170" s="1"/>
      <c r="M170" s="1"/>
      <c r="N170" s="50"/>
      <c r="O170" s="1"/>
      <c r="P170" s="1"/>
      <c r="Q170" s="3"/>
      <c r="R170" s="3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1:59" s="1" customFormat="1" x14ac:dyDescent="0.25">
      <c r="E171" s="50"/>
      <c r="H171" s="50"/>
      <c r="K171" s="50"/>
      <c r="N171" s="50"/>
      <c r="Q171" s="3"/>
      <c r="R171" s="3"/>
      <c r="S171" s="4"/>
    </row>
    <row r="172" spans="1:59" s="1" customFormat="1" x14ac:dyDescent="0.25">
      <c r="E172" s="50"/>
      <c r="H172" s="50"/>
      <c r="K172" s="50"/>
      <c r="N172" s="50"/>
      <c r="Q172" s="3"/>
      <c r="R172" s="3"/>
      <c r="S172" s="4"/>
    </row>
    <row r="173" spans="1:59" s="1" customFormat="1" x14ac:dyDescent="0.25">
      <c r="E173" s="50"/>
      <c r="H173" s="50"/>
      <c r="K173" s="50"/>
      <c r="N173" s="50"/>
      <c r="Q173" s="3"/>
      <c r="R173" s="3"/>
      <c r="S173" s="4"/>
    </row>
  </sheetData>
  <mergeCells count="9">
    <mergeCell ref="E11:J11"/>
    <mergeCell ref="K11:M11"/>
    <mergeCell ref="N11:P11"/>
    <mergeCell ref="Q13:R13"/>
    <mergeCell ref="E14:G14"/>
    <mergeCell ref="H14:J14"/>
    <mergeCell ref="K14:M14"/>
    <mergeCell ref="N14:P14"/>
    <mergeCell ref="Q14:R14"/>
  </mergeCells>
  <pageMargins left="0.7" right="0.7" top="0.75" bottom="0.75" header="0.3" footer="0.3"/>
  <ignoredErrors>
    <ignoredError sqref="E104 G104:H104 J10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Résumé</vt:lpstr>
      <vt:lpstr>Budg surv dur - 1 éq + ATCD</vt:lpstr>
      <vt:lpstr>Budg surv dur - 2 éq + ATCD</vt:lpstr>
      <vt:lpstr>Budg surv dur - 2 éq sans ATCD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Moran</dc:creator>
  <cp:lastModifiedBy>Windows User</cp:lastModifiedBy>
  <cp:lastPrinted>2015-04-09T09:34:31Z</cp:lastPrinted>
  <dcterms:created xsi:type="dcterms:W3CDTF">2014-12-18T16:38:44Z</dcterms:created>
  <dcterms:modified xsi:type="dcterms:W3CDTF">2016-03-16T18:42:26Z</dcterms:modified>
</cp:coreProperties>
</file>