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siorg.sharepoint.com/sites/VL/Shared Documents/6 - Technical Resources/ITN Durability Monitoring/0.Streamlined DM/Website uploads/New folder/"/>
    </mc:Choice>
  </mc:AlternateContent>
  <xr:revisionPtr revIDLastSave="4415" documentId="8_{A0038C57-4AB5-4C5F-ADD5-9D8452FB8B22}" xr6:coauthVersionLast="47" xr6:coauthVersionMax="47" xr10:uidLastSave="{E64A0DAA-27A5-4203-AC80-E441733F3B6F}"/>
  <bookViews>
    <workbookView xWindow="-108" yWindow="-108" windowWidth="23256" windowHeight="12576" tabRatio="715" activeTab="2" xr2:uid="{00000000-000D-0000-FFFF-FFFF00000000}"/>
  </bookViews>
  <sheets>
    <sheet name="Summary" sheetId="14" r:id="rId1"/>
    <sheet name="DM Budget - 2 Sites" sheetId="15" r:id="rId2"/>
    <sheet name="DM Budget - 3 Sites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2" i="17" l="1"/>
  <c r="H121" i="17"/>
  <c r="H120" i="17"/>
  <c r="H118" i="17"/>
  <c r="H122" i="15"/>
  <c r="H121" i="15"/>
  <c r="H120" i="15"/>
  <c r="H118" i="15"/>
  <c r="G118" i="15"/>
  <c r="Q140" i="17"/>
  <c r="L140" i="17"/>
  <c r="O140" i="17" s="1"/>
  <c r="P140" i="17" s="1"/>
  <c r="J140" i="17"/>
  <c r="G140" i="17"/>
  <c r="Q139" i="17"/>
  <c r="L139" i="17"/>
  <c r="O139" i="17" s="1"/>
  <c r="P139" i="17" s="1"/>
  <c r="J139" i="17"/>
  <c r="G139" i="17"/>
  <c r="Q138" i="17"/>
  <c r="L138" i="17"/>
  <c r="O138" i="17" s="1"/>
  <c r="P138" i="17" s="1"/>
  <c r="J138" i="17"/>
  <c r="G138" i="17"/>
  <c r="Q137" i="17"/>
  <c r="L137" i="17"/>
  <c r="O137" i="17" s="1"/>
  <c r="P137" i="17" s="1"/>
  <c r="J137" i="17"/>
  <c r="G137" i="17"/>
  <c r="Q136" i="17"/>
  <c r="L136" i="17"/>
  <c r="O136" i="17" s="1"/>
  <c r="P136" i="17" s="1"/>
  <c r="J136" i="17"/>
  <c r="G136" i="17"/>
  <c r="Q135" i="17"/>
  <c r="L135" i="17"/>
  <c r="O135" i="17" s="1"/>
  <c r="P135" i="17" s="1"/>
  <c r="J135" i="17"/>
  <c r="G135" i="17"/>
  <c r="Q140" i="15"/>
  <c r="L140" i="15"/>
  <c r="O140" i="15" s="1"/>
  <c r="P140" i="15" s="1"/>
  <c r="J140" i="15"/>
  <c r="G140" i="15"/>
  <c r="Q139" i="15"/>
  <c r="O139" i="15"/>
  <c r="P139" i="15" s="1"/>
  <c r="M139" i="15"/>
  <c r="L139" i="15"/>
  <c r="J139" i="15"/>
  <c r="G139" i="15"/>
  <c r="Q138" i="15"/>
  <c r="O138" i="15"/>
  <c r="P138" i="15" s="1"/>
  <c r="M138" i="15"/>
  <c r="R138" i="15" s="1"/>
  <c r="L138" i="15"/>
  <c r="J138" i="15"/>
  <c r="G138" i="15"/>
  <c r="Q137" i="15"/>
  <c r="O137" i="15"/>
  <c r="P137" i="15" s="1"/>
  <c r="M137" i="15"/>
  <c r="L137" i="15"/>
  <c r="J137" i="15"/>
  <c r="G137" i="15"/>
  <c r="Q136" i="15"/>
  <c r="O136" i="15"/>
  <c r="P136" i="15" s="1"/>
  <c r="R136" i="15" s="1"/>
  <c r="M136" i="15"/>
  <c r="L136" i="15"/>
  <c r="J136" i="15"/>
  <c r="G136" i="15"/>
  <c r="Q135" i="15"/>
  <c r="O135" i="15"/>
  <c r="P135" i="15" s="1"/>
  <c r="R135" i="15" s="1"/>
  <c r="M135" i="15"/>
  <c r="L135" i="15"/>
  <c r="J135" i="15"/>
  <c r="G135" i="15"/>
  <c r="Q133" i="15"/>
  <c r="L133" i="15"/>
  <c r="O133" i="15" s="1"/>
  <c r="P133" i="15" s="1"/>
  <c r="J133" i="15"/>
  <c r="G133" i="15"/>
  <c r="Q132" i="15"/>
  <c r="L132" i="15"/>
  <c r="O132" i="15" s="1"/>
  <c r="P132" i="15" s="1"/>
  <c r="J132" i="15"/>
  <c r="G132" i="15"/>
  <c r="Q131" i="15"/>
  <c r="L131" i="15"/>
  <c r="O131" i="15" s="1"/>
  <c r="P131" i="15" s="1"/>
  <c r="J131" i="15"/>
  <c r="G131" i="15"/>
  <c r="Q130" i="15"/>
  <c r="L130" i="15"/>
  <c r="M130" i="15" s="1"/>
  <c r="J130" i="15"/>
  <c r="G130" i="15"/>
  <c r="Q129" i="15"/>
  <c r="L129" i="15"/>
  <c r="O129" i="15" s="1"/>
  <c r="P129" i="15" s="1"/>
  <c r="J129" i="15"/>
  <c r="G129" i="15"/>
  <c r="Q147" i="17"/>
  <c r="L147" i="17"/>
  <c r="O147" i="17" s="1"/>
  <c r="P147" i="17" s="1"/>
  <c r="J147" i="17"/>
  <c r="G147" i="17"/>
  <c r="Q146" i="17"/>
  <c r="L146" i="17"/>
  <c r="M146" i="17" s="1"/>
  <c r="J146" i="17"/>
  <c r="G146" i="17"/>
  <c r="Q145" i="17"/>
  <c r="L145" i="17"/>
  <c r="M145" i="17" s="1"/>
  <c r="J145" i="17"/>
  <c r="G145" i="17"/>
  <c r="Q144" i="17"/>
  <c r="L144" i="17"/>
  <c r="M144" i="17" s="1"/>
  <c r="J144" i="17"/>
  <c r="G144" i="17"/>
  <c r="Q143" i="17"/>
  <c r="L143" i="17"/>
  <c r="O143" i="17" s="1"/>
  <c r="P143" i="17" s="1"/>
  <c r="J143" i="17"/>
  <c r="G143" i="17"/>
  <c r="N142" i="17"/>
  <c r="L142" i="17"/>
  <c r="O142" i="17" s="1"/>
  <c r="K142" i="17"/>
  <c r="H142" i="17"/>
  <c r="J142" i="17" s="1"/>
  <c r="G142" i="17"/>
  <c r="E42" i="15"/>
  <c r="K38" i="15"/>
  <c r="K39" i="15"/>
  <c r="N38" i="15"/>
  <c r="N39" i="15"/>
  <c r="N41" i="15"/>
  <c r="N42" i="15"/>
  <c r="K42" i="15"/>
  <c r="K41" i="15"/>
  <c r="H42" i="15"/>
  <c r="H41" i="15"/>
  <c r="R138" i="17" l="1"/>
  <c r="R140" i="17"/>
  <c r="M135" i="17"/>
  <c r="R135" i="17" s="1"/>
  <c r="M136" i="17"/>
  <c r="R136" i="17" s="1"/>
  <c r="M137" i="17"/>
  <c r="R137" i="17" s="1"/>
  <c r="M138" i="17"/>
  <c r="M139" i="17"/>
  <c r="R139" i="17" s="1"/>
  <c r="M140" i="17"/>
  <c r="P142" i="17"/>
  <c r="R139" i="15"/>
  <c r="R137" i="15"/>
  <c r="M140" i="15"/>
  <c r="R140" i="15" s="1"/>
  <c r="M129" i="15"/>
  <c r="R129" i="15" s="1"/>
  <c r="O146" i="17"/>
  <c r="P146" i="17" s="1"/>
  <c r="R146" i="17" s="1"/>
  <c r="O145" i="17"/>
  <c r="P145" i="17" s="1"/>
  <c r="O130" i="15"/>
  <c r="P130" i="15" s="1"/>
  <c r="R130" i="15" s="1"/>
  <c r="M133" i="15"/>
  <c r="R133" i="15" s="1"/>
  <c r="M132" i="15"/>
  <c r="R132" i="15" s="1"/>
  <c r="M131" i="15"/>
  <c r="R131" i="15" s="1"/>
  <c r="R145" i="17"/>
  <c r="M142" i="17"/>
  <c r="M143" i="17"/>
  <c r="R143" i="17" s="1"/>
  <c r="O144" i="17"/>
  <c r="P144" i="17" s="1"/>
  <c r="R144" i="17" s="1"/>
  <c r="M147" i="17"/>
  <c r="R147" i="17" s="1"/>
  <c r="Q142" i="17"/>
  <c r="R142" i="17"/>
  <c r="N142" i="15"/>
  <c r="K142" i="15"/>
  <c r="H142" i="15"/>
  <c r="N122" i="17"/>
  <c r="K122" i="17"/>
  <c r="N121" i="17"/>
  <c r="K121" i="17"/>
  <c r="N120" i="17"/>
  <c r="K120" i="17"/>
  <c r="N118" i="17"/>
  <c r="K118" i="17"/>
  <c r="N118" i="15"/>
  <c r="K118" i="15"/>
  <c r="N122" i="15"/>
  <c r="K122" i="15"/>
  <c r="N121" i="15"/>
  <c r="K121" i="15"/>
  <c r="N120" i="15"/>
  <c r="K120" i="15"/>
  <c r="D165" i="15" l="1"/>
  <c r="D164" i="15"/>
  <c r="N107" i="17"/>
  <c r="K107" i="17"/>
  <c r="H107" i="17"/>
  <c r="E42" i="17" l="1"/>
  <c r="E41" i="17"/>
  <c r="N42" i="17"/>
  <c r="N41" i="17"/>
  <c r="N39" i="17"/>
  <c r="N38" i="17"/>
  <c r="K42" i="17"/>
  <c r="K41" i="17"/>
  <c r="K39" i="17"/>
  <c r="K38" i="17"/>
  <c r="H42" i="17"/>
  <c r="H41" i="17"/>
  <c r="H39" i="17"/>
  <c r="H38" i="17"/>
  <c r="D165" i="17" l="1"/>
  <c r="D164" i="17"/>
  <c r="G41" i="17"/>
  <c r="I42" i="15"/>
  <c r="L42" i="15" s="1"/>
  <c r="O42" i="15" s="1"/>
  <c r="J42" i="15"/>
  <c r="Q42" i="15"/>
  <c r="I41" i="15"/>
  <c r="L41" i="15" s="1"/>
  <c r="O41" i="15" s="1"/>
  <c r="P41" i="15" s="1"/>
  <c r="J41" i="15"/>
  <c r="E41" i="15"/>
  <c r="G41" i="15" s="1"/>
  <c r="I39" i="15"/>
  <c r="L39" i="15" s="1"/>
  <c r="H39" i="15"/>
  <c r="J39" i="15" s="1"/>
  <c r="I38" i="15"/>
  <c r="L38" i="15" s="1"/>
  <c r="H38" i="15"/>
  <c r="J38" i="15" s="1"/>
  <c r="Q38" i="15"/>
  <c r="I42" i="17"/>
  <c r="L42" i="17" s="1"/>
  <c r="O42" i="17" s="1"/>
  <c r="I41" i="17"/>
  <c r="L41" i="17" s="1"/>
  <c r="O41" i="17" s="1"/>
  <c r="M41" i="17" l="1"/>
  <c r="G38" i="15"/>
  <c r="Q39" i="15"/>
  <c r="M42" i="17"/>
  <c r="J42" i="17"/>
  <c r="M41" i="15"/>
  <c r="R41" i="15" s="1"/>
  <c r="O38" i="15"/>
  <c r="P38" i="15" s="1"/>
  <c r="M38" i="15"/>
  <c r="O39" i="15"/>
  <c r="P39" i="15" s="1"/>
  <c r="M39" i="15"/>
  <c r="M42" i="15"/>
  <c r="P42" i="15"/>
  <c r="Q41" i="15"/>
  <c r="G39" i="15"/>
  <c r="G42" i="15"/>
  <c r="P41" i="17"/>
  <c r="Q42" i="17"/>
  <c r="Q41" i="17"/>
  <c r="P42" i="17"/>
  <c r="G42" i="17"/>
  <c r="J41" i="17"/>
  <c r="I118" i="17"/>
  <c r="L118" i="17" s="1"/>
  <c r="O118" i="17" s="1"/>
  <c r="G107" i="17"/>
  <c r="I107" i="17"/>
  <c r="J107" i="17" s="1"/>
  <c r="Q107" i="17"/>
  <c r="G109" i="17"/>
  <c r="I109" i="17"/>
  <c r="J109" i="17" s="1"/>
  <c r="Q109" i="17"/>
  <c r="G110" i="17"/>
  <c r="I110" i="17"/>
  <c r="J110" i="17" s="1"/>
  <c r="Q110" i="17"/>
  <c r="G111" i="17"/>
  <c r="I111" i="17"/>
  <c r="J111" i="17" s="1"/>
  <c r="G112" i="17"/>
  <c r="H112" i="17"/>
  <c r="K112" i="17"/>
  <c r="L112" i="17"/>
  <c r="O112" i="17" s="1"/>
  <c r="N112" i="17"/>
  <c r="L111" i="17" l="1"/>
  <c r="O111" i="17" s="1"/>
  <c r="P111" i="17" s="1"/>
  <c r="M112" i="17"/>
  <c r="R38" i="15"/>
  <c r="Q111" i="17"/>
  <c r="M111" i="17"/>
  <c r="R111" i="17" s="1"/>
  <c r="J118" i="17"/>
  <c r="Q112" i="17"/>
  <c r="R42" i="15"/>
  <c r="R39" i="15"/>
  <c r="R41" i="17"/>
  <c r="R42" i="17"/>
  <c r="Q118" i="17"/>
  <c r="M118" i="17"/>
  <c r="P118" i="17"/>
  <c r="G118" i="17"/>
  <c r="L107" i="17"/>
  <c r="P112" i="17"/>
  <c r="J112" i="17"/>
  <c r="R112" i="17" s="1"/>
  <c r="L110" i="17"/>
  <c r="L109" i="17"/>
  <c r="I43" i="17"/>
  <c r="L43" i="17" s="1"/>
  <c r="O43" i="17" s="1"/>
  <c r="G43" i="17"/>
  <c r="J114" i="17" l="1"/>
  <c r="J34" i="14" s="1"/>
  <c r="J43" i="17"/>
  <c r="R118" i="17"/>
  <c r="M107" i="17"/>
  <c r="O107" i="17"/>
  <c r="P107" i="17" s="1"/>
  <c r="G114" i="17"/>
  <c r="M109" i="17"/>
  <c r="O109" i="17"/>
  <c r="P109" i="17" s="1"/>
  <c r="O110" i="17"/>
  <c r="P110" i="17" s="1"/>
  <c r="M110" i="17"/>
  <c r="M43" i="17"/>
  <c r="P43" i="17"/>
  <c r="Q43" i="17"/>
  <c r="I34" i="14" l="1"/>
  <c r="P114" i="17"/>
  <c r="L34" i="14" s="1"/>
  <c r="R110" i="17"/>
  <c r="R107" i="17"/>
  <c r="M114" i="17"/>
  <c r="R109" i="17"/>
  <c r="R43" i="17"/>
  <c r="S114" i="17" l="1"/>
  <c r="R114" i="17"/>
  <c r="M34" i="14" s="1"/>
  <c r="K34" i="14"/>
  <c r="G43" i="15"/>
  <c r="I43" i="15"/>
  <c r="L43" i="15" s="1"/>
  <c r="O43" i="15" s="1"/>
  <c r="M43" i="15" l="1"/>
  <c r="J43" i="15"/>
  <c r="P43" i="15"/>
  <c r="Q43" i="15"/>
  <c r="Q74" i="15"/>
  <c r="R43" i="15" l="1"/>
  <c r="E71" i="15" l="1"/>
  <c r="G122" i="15"/>
  <c r="I122" i="15"/>
  <c r="L122" i="15" s="1"/>
  <c r="Q121" i="15"/>
  <c r="I121" i="15"/>
  <c r="J121" i="15" s="1"/>
  <c r="G121" i="15"/>
  <c r="I120" i="15"/>
  <c r="J120" i="15" s="1"/>
  <c r="Q120" i="15"/>
  <c r="N87" i="17"/>
  <c r="K87" i="17"/>
  <c r="I87" i="17"/>
  <c r="L87" i="17" s="1"/>
  <c r="J87" i="17"/>
  <c r="H87" i="15"/>
  <c r="K87" i="15"/>
  <c r="N87" i="15"/>
  <c r="N112" i="15"/>
  <c r="K112" i="15"/>
  <c r="H112" i="15"/>
  <c r="J112" i="15" s="1"/>
  <c r="G111" i="15"/>
  <c r="L112" i="15"/>
  <c r="O112" i="15" s="1"/>
  <c r="G112" i="15"/>
  <c r="I111" i="15"/>
  <c r="L111" i="15" s="1"/>
  <c r="I82" i="17"/>
  <c r="J82" i="17" s="1"/>
  <c r="E60" i="15"/>
  <c r="I38" i="17"/>
  <c r="L38" i="17" s="1"/>
  <c r="O38" i="17" s="1"/>
  <c r="Q38" i="17"/>
  <c r="I39" i="17"/>
  <c r="L39" i="17" s="1"/>
  <c r="O39" i="17" s="1"/>
  <c r="J122" i="15" l="1"/>
  <c r="Q87" i="17"/>
  <c r="L82" i="17"/>
  <c r="M82" i="17" s="1"/>
  <c r="L120" i="15"/>
  <c r="L121" i="15"/>
  <c r="O121" i="15" s="1"/>
  <c r="P121" i="15" s="1"/>
  <c r="P39" i="17"/>
  <c r="M39" i="17"/>
  <c r="J39" i="17"/>
  <c r="J38" i="17"/>
  <c r="P112" i="15"/>
  <c r="O122" i="15"/>
  <c r="P122" i="15" s="1"/>
  <c r="M122" i="15"/>
  <c r="G120" i="15"/>
  <c r="Q122" i="15"/>
  <c r="O87" i="17"/>
  <c r="P87" i="17" s="1"/>
  <c r="M87" i="17"/>
  <c r="G87" i="17"/>
  <c r="O111" i="15"/>
  <c r="P111" i="15" s="1"/>
  <c r="M111" i="15"/>
  <c r="M112" i="15"/>
  <c r="J111" i="15"/>
  <c r="Q112" i="15"/>
  <c r="Q111" i="15"/>
  <c r="M38" i="17"/>
  <c r="P38" i="17"/>
  <c r="G38" i="17"/>
  <c r="Q39" i="17"/>
  <c r="G39" i="17"/>
  <c r="M121" i="15" l="1"/>
  <c r="R121" i="15" s="1"/>
  <c r="R39" i="17"/>
  <c r="R112" i="15"/>
  <c r="R111" i="15"/>
  <c r="M120" i="15"/>
  <c r="O120" i="15"/>
  <c r="P120" i="15" s="1"/>
  <c r="R122" i="15"/>
  <c r="R87" i="17"/>
  <c r="R89" i="17" s="1"/>
  <c r="R38" i="17"/>
  <c r="Q132" i="17"/>
  <c r="J132" i="17"/>
  <c r="L132" i="17"/>
  <c r="M132" i="17" s="1"/>
  <c r="G132" i="17"/>
  <c r="L146" i="15"/>
  <c r="O146" i="15" s="1"/>
  <c r="Q145" i="15"/>
  <c r="Q146" i="15"/>
  <c r="L145" i="15"/>
  <c r="O145" i="15" s="1"/>
  <c r="P145" i="15" s="1"/>
  <c r="J145" i="15"/>
  <c r="J146" i="15"/>
  <c r="G145" i="15"/>
  <c r="G146" i="15"/>
  <c r="J152" i="17"/>
  <c r="G152" i="17"/>
  <c r="L152" i="17"/>
  <c r="O152" i="17" s="1"/>
  <c r="J152" i="15"/>
  <c r="G152" i="15"/>
  <c r="L152" i="15"/>
  <c r="O152" i="15" s="1"/>
  <c r="N98" i="17"/>
  <c r="K98" i="17"/>
  <c r="H98" i="17"/>
  <c r="G98" i="17"/>
  <c r="I98" i="17"/>
  <c r="L98" i="17" s="1"/>
  <c r="O98" i="17" s="1"/>
  <c r="N98" i="15"/>
  <c r="K98" i="15"/>
  <c r="H98" i="15"/>
  <c r="E98" i="15"/>
  <c r="I98" i="15"/>
  <c r="L98" i="15" s="1"/>
  <c r="O98" i="15" s="1"/>
  <c r="R120" i="15" l="1"/>
  <c r="P152" i="17"/>
  <c r="M152" i="17"/>
  <c r="O132" i="17"/>
  <c r="P132" i="17" s="1"/>
  <c r="R132" i="17" s="1"/>
  <c r="J98" i="17"/>
  <c r="M152" i="15"/>
  <c r="M145" i="15"/>
  <c r="R145" i="15" s="1"/>
  <c r="J98" i="15"/>
  <c r="Q152" i="15"/>
  <c r="M146" i="15"/>
  <c r="P146" i="15"/>
  <c r="Q152" i="17"/>
  <c r="P152" i="15"/>
  <c r="P98" i="17"/>
  <c r="M98" i="17"/>
  <c r="Q98" i="15"/>
  <c r="M98" i="15"/>
  <c r="P98" i="15"/>
  <c r="G98" i="15"/>
  <c r="Q98" i="17"/>
  <c r="Q96" i="17"/>
  <c r="Q122" i="17"/>
  <c r="R2" i="15"/>
  <c r="J153" i="17"/>
  <c r="J150" i="17"/>
  <c r="G151" i="17"/>
  <c r="L153" i="17"/>
  <c r="O153" i="17" s="1"/>
  <c r="L151" i="17"/>
  <c r="O151" i="17" s="1"/>
  <c r="L150" i="17"/>
  <c r="O150" i="17" s="1"/>
  <c r="N149" i="17"/>
  <c r="L149" i="17"/>
  <c r="O149" i="17" s="1"/>
  <c r="K149" i="17"/>
  <c r="H149" i="17"/>
  <c r="J149" i="17" s="1"/>
  <c r="G149" i="17"/>
  <c r="H149" i="15"/>
  <c r="K149" i="15"/>
  <c r="N149" i="15"/>
  <c r="R152" i="17" l="1"/>
  <c r="R152" i="15"/>
  <c r="R146" i="15"/>
  <c r="R98" i="15"/>
  <c r="M149" i="17"/>
  <c r="P153" i="17"/>
  <c r="R98" i="17"/>
  <c r="M150" i="17"/>
  <c r="M151" i="17"/>
  <c r="M153" i="17"/>
  <c r="P150" i="17"/>
  <c r="P149" i="17"/>
  <c r="P151" i="17"/>
  <c r="Q150" i="17"/>
  <c r="Q153" i="17"/>
  <c r="Q151" i="17"/>
  <c r="J151" i="17"/>
  <c r="Q149" i="17"/>
  <c r="G150" i="17"/>
  <c r="G153" i="17"/>
  <c r="M2" i="14"/>
  <c r="Q130" i="17"/>
  <c r="Q131" i="17"/>
  <c r="G130" i="17"/>
  <c r="J130" i="17"/>
  <c r="L130" i="17"/>
  <c r="M130" i="17" s="1"/>
  <c r="G131" i="17"/>
  <c r="J131" i="17"/>
  <c r="L131" i="17"/>
  <c r="M131" i="17" s="1"/>
  <c r="G151" i="15"/>
  <c r="J151" i="15"/>
  <c r="L151" i="15"/>
  <c r="M151" i="15" s="1"/>
  <c r="Q151" i="15"/>
  <c r="G153" i="15"/>
  <c r="J153" i="15"/>
  <c r="L153" i="15"/>
  <c r="M153" i="15" s="1"/>
  <c r="Q153" i="15"/>
  <c r="G144" i="15"/>
  <c r="J144" i="15"/>
  <c r="L144" i="15"/>
  <c r="O144" i="15" s="1"/>
  <c r="P144" i="15" s="1"/>
  <c r="Q144" i="15"/>
  <c r="O131" i="17" l="1"/>
  <c r="P131" i="17" s="1"/>
  <c r="R131" i="17" s="1"/>
  <c r="R151" i="17"/>
  <c r="R149" i="17"/>
  <c r="R153" i="17"/>
  <c r="R150" i="17"/>
  <c r="M144" i="15"/>
  <c r="R144" i="15" s="1"/>
  <c r="O130" i="17"/>
  <c r="P130" i="17" s="1"/>
  <c r="R130" i="17" s="1"/>
  <c r="O151" i="15"/>
  <c r="P151" i="15" s="1"/>
  <c r="R151" i="15" s="1"/>
  <c r="O153" i="15"/>
  <c r="P153" i="15" s="1"/>
  <c r="R153" i="15" s="1"/>
  <c r="L122" i="17" l="1"/>
  <c r="Q133" i="17"/>
  <c r="L133" i="17"/>
  <c r="O133" i="17" s="1"/>
  <c r="P133" i="17" s="1"/>
  <c r="J133" i="17"/>
  <c r="G133" i="17"/>
  <c r="Q129" i="17"/>
  <c r="L129" i="17"/>
  <c r="O129" i="17" s="1"/>
  <c r="P129" i="17" s="1"/>
  <c r="J129" i="17"/>
  <c r="G129" i="17"/>
  <c r="Q123" i="17"/>
  <c r="I123" i="17"/>
  <c r="L123" i="17" s="1"/>
  <c r="G123" i="17"/>
  <c r="G122" i="17"/>
  <c r="Q121" i="17"/>
  <c r="I121" i="17"/>
  <c r="L121" i="17" s="1"/>
  <c r="G121" i="17"/>
  <c r="I120" i="17"/>
  <c r="J120" i="17" s="1"/>
  <c r="G120" i="17"/>
  <c r="L96" i="17"/>
  <c r="O96" i="17" s="1"/>
  <c r="P96" i="17" s="1"/>
  <c r="J96" i="17"/>
  <c r="G96" i="17"/>
  <c r="Q101" i="17"/>
  <c r="I101" i="17"/>
  <c r="L101" i="17" s="1"/>
  <c r="G101" i="17"/>
  <c r="Q100" i="17"/>
  <c r="I100" i="17"/>
  <c r="L100" i="17" s="1"/>
  <c r="G100" i="17"/>
  <c r="Q94" i="17"/>
  <c r="I94" i="17"/>
  <c r="L94" i="17" s="1"/>
  <c r="G94" i="17"/>
  <c r="J89" i="17"/>
  <c r="J30" i="14" s="1"/>
  <c r="Q82" i="17"/>
  <c r="G82" i="17"/>
  <c r="Q81" i="17"/>
  <c r="I81" i="17"/>
  <c r="L81" i="17" s="1"/>
  <c r="G81" i="17"/>
  <c r="Q71" i="17"/>
  <c r="I71" i="17"/>
  <c r="L71" i="17" s="1"/>
  <c r="G71" i="17"/>
  <c r="I74" i="17"/>
  <c r="L74" i="17" s="1"/>
  <c r="O74" i="17" s="1"/>
  <c r="P74" i="17" s="1"/>
  <c r="Q64" i="17"/>
  <c r="I64" i="17"/>
  <c r="L64" i="17" s="1"/>
  <c r="G64" i="17"/>
  <c r="Q63" i="17"/>
  <c r="I63" i="17"/>
  <c r="L63" i="17" s="1"/>
  <c r="O63" i="17" s="1"/>
  <c r="P63" i="17" s="1"/>
  <c r="G63" i="17"/>
  <c r="Q62" i="17"/>
  <c r="I62" i="17"/>
  <c r="L62" i="17" s="1"/>
  <c r="G62" i="17"/>
  <c r="I60" i="17"/>
  <c r="L60" i="17" s="1"/>
  <c r="G60" i="17"/>
  <c r="I59" i="17"/>
  <c r="L59" i="17" s="1"/>
  <c r="G59" i="17"/>
  <c r="I58" i="17"/>
  <c r="L58" i="17" s="1"/>
  <c r="Q58" i="17"/>
  <c r="N50" i="17"/>
  <c r="K50" i="17"/>
  <c r="H50" i="17"/>
  <c r="Q36" i="17"/>
  <c r="I36" i="17"/>
  <c r="L36" i="17" s="1"/>
  <c r="G36" i="17"/>
  <c r="Q35" i="17"/>
  <c r="I35" i="17"/>
  <c r="L35" i="17" s="1"/>
  <c r="G35" i="17"/>
  <c r="Q34" i="17"/>
  <c r="I34" i="17"/>
  <c r="J34" i="17" s="1"/>
  <c r="G34" i="17"/>
  <c r="Q33" i="17"/>
  <c r="I33" i="17"/>
  <c r="L33" i="17" s="1"/>
  <c r="G33" i="17"/>
  <c r="Q28" i="17"/>
  <c r="I28" i="17"/>
  <c r="J28" i="17" s="1"/>
  <c r="G28" i="17"/>
  <c r="Q27" i="17"/>
  <c r="I27" i="17"/>
  <c r="J27" i="17" s="1"/>
  <c r="G27" i="17"/>
  <c r="Q26" i="17"/>
  <c r="I26" i="17"/>
  <c r="L26" i="17" s="1"/>
  <c r="G26" i="17"/>
  <c r="Q25" i="17"/>
  <c r="I25" i="17"/>
  <c r="L25" i="17" s="1"/>
  <c r="G25" i="17"/>
  <c r="R2" i="17"/>
  <c r="E59" i="15"/>
  <c r="E58" i="15"/>
  <c r="G84" i="17" l="1"/>
  <c r="G155" i="17"/>
  <c r="I36" i="14" s="1"/>
  <c r="P155" i="17"/>
  <c r="L36" i="14" s="1"/>
  <c r="G30" i="17"/>
  <c r="J155" i="17"/>
  <c r="J36" i="14" s="1"/>
  <c r="G103" i="17"/>
  <c r="G45" i="17"/>
  <c r="G125" i="17"/>
  <c r="J122" i="17"/>
  <c r="L120" i="17"/>
  <c r="M120" i="17" s="1"/>
  <c r="L28" i="17"/>
  <c r="O28" i="17" s="1"/>
  <c r="P28" i="17" s="1"/>
  <c r="J74" i="17"/>
  <c r="M96" i="17"/>
  <c r="R96" i="17" s="1"/>
  <c r="J60" i="17"/>
  <c r="P89" i="17"/>
  <c r="L30" i="14" s="1"/>
  <c r="O94" i="17"/>
  <c r="P94" i="17" s="1"/>
  <c r="M94" i="17"/>
  <c r="M100" i="17"/>
  <c r="O100" i="17"/>
  <c r="P100" i="17" s="1"/>
  <c r="M35" i="17"/>
  <c r="O35" i="17"/>
  <c r="P35" i="17" s="1"/>
  <c r="M25" i="17"/>
  <c r="O25" i="17"/>
  <c r="P25" i="17" s="1"/>
  <c r="O60" i="17"/>
  <c r="P60" i="17" s="1"/>
  <c r="M60" i="17"/>
  <c r="L34" i="17"/>
  <c r="O34" i="17" s="1"/>
  <c r="P34" i="17" s="1"/>
  <c r="J64" i="17"/>
  <c r="J100" i="17"/>
  <c r="M133" i="17"/>
  <c r="R133" i="17" s="1"/>
  <c r="J25" i="17"/>
  <c r="L27" i="17"/>
  <c r="O27" i="17" s="1"/>
  <c r="P27" i="17" s="1"/>
  <c r="J71" i="17"/>
  <c r="J76" i="17" s="1"/>
  <c r="O82" i="17"/>
  <c r="P82" i="17" s="1"/>
  <c r="J94" i="17"/>
  <c r="J121" i="17"/>
  <c r="M129" i="17"/>
  <c r="R129" i="17" s="1"/>
  <c r="J35" i="17"/>
  <c r="J63" i="17"/>
  <c r="G74" i="17"/>
  <c r="G76" i="17" s="1"/>
  <c r="G58" i="17"/>
  <c r="G66" i="17" s="1"/>
  <c r="I22" i="14" s="1"/>
  <c r="M122" i="17"/>
  <c r="O122" i="17"/>
  <c r="P122" i="17" s="1"/>
  <c r="Q120" i="17"/>
  <c r="O33" i="17"/>
  <c r="P33" i="17" s="1"/>
  <c r="M33" i="17"/>
  <c r="O101" i="17"/>
  <c r="P101" i="17" s="1"/>
  <c r="M101" i="17"/>
  <c r="O81" i="17"/>
  <c r="P81" i="17" s="1"/>
  <c r="M81" i="17"/>
  <c r="M84" i="17" s="1"/>
  <c r="O121" i="17"/>
  <c r="P121" i="17" s="1"/>
  <c r="M121" i="17"/>
  <c r="O59" i="17"/>
  <c r="P59" i="17" s="1"/>
  <c r="M59" i="17"/>
  <c r="M62" i="17"/>
  <c r="O62" i="17"/>
  <c r="P62" i="17" s="1"/>
  <c r="O64" i="17"/>
  <c r="P64" i="17" s="1"/>
  <c r="M64" i="17"/>
  <c r="O26" i="17"/>
  <c r="P26" i="17" s="1"/>
  <c r="M26" i="17"/>
  <c r="O71" i="17"/>
  <c r="P71" i="17" s="1"/>
  <c r="M71" i="17"/>
  <c r="M36" i="17"/>
  <c r="O36" i="17"/>
  <c r="P36" i="17" s="1"/>
  <c r="O123" i="17"/>
  <c r="P123" i="17" s="1"/>
  <c r="M123" i="17"/>
  <c r="O58" i="17"/>
  <c r="P58" i="17" s="1"/>
  <c r="M58" i="17"/>
  <c r="Q59" i="17"/>
  <c r="J58" i="17"/>
  <c r="M63" i="17"/>
  <c r="M74" i="17"/>
  <c r="G89" i="17"/>
  <c r="Q60" i="17"/>
  <c r="J26" i="17"/>
  <c r="J33" i="17"/>
  <c r="J59" i="17"/>
  <c r="J81" i="17"/>
  <c r="J84" i="17" s="1"/>
  <c r="J101" i="17"/>
  <c r="J123" i="17"/>
  <c r="J36" i="17"/>
  <c r="J62" i="17"/>
  <c r="P84" i="17" l="1"/>
  <c r="S84" i="17" s="1"/>
  <c r="J66" i="17"/>
  <c r="M155" i="17"/>
  <c r="K36" i="14" s="1"/>
  <c r="I35" i="14"/>
  <c r="I33" i="14"/>
  <c r="G164" i="17"/>
  <c r="I43" i="14" s="1"/>
  <c r="M103" i="17"/>
  <c r="K33" i="14" s="1"/>
  <c r="J30" i="17"/>
  <c r="J14" i="14" s="1"/>
  <c r="P30" i="17"/>
  <c r="P45" i="17"/>
  <c r="P76" i="17"/>
  <c r="M66" i="17"/>
  <c r="M76" i="17"/>
  <c r="K23" i="14" s="1"/>
  <c r="P66" i="17"/>
  <c r="S66" i="17" s="1"/>
  <c r="P103" i="17"/>
  <c r="L33" i="14" s="1"/>
  <c r="J103" i="17"/>
  <c r="J33" i="14" s="1"/>
  <c r="O120" i="17"/>
  <c r="P120" i="17" s="1"/>
  <c r="P125" i="17" s="1"/>
  <c r="L35" i="14" s="1"/>
  <c r="J45" i="17"/>
  <c r="J125" i="17"/>
  <c r="J35" i="14" s="1"/>
  <c r="M125" i="17"/>
  <c r="K35" i="14" s="1"/>
  <c r="M34" i="17"/>
  <c r="R34" i="17" s="1"/>
  <c r="R122" i="17"/>
  <c r="R35" i="17"/>
  <c r="S155" i="17"/>
  <c r="G157" i="17"/>
  <c r="I30" i="14"/>
  <c r="I15" i="14"/>
  <c r="I23" i="14"/>
  <c r="J23" i="14"/>
  <c r="F50" i="17"/>
  <c r="G50" i="17" s="1"/>
  <c r="I14" i="14"/>
  <c r="M28" i="17"/>
  <c r="R28" i="17" s="1"/>
  <c r="I27" i="14"/>
  <c r="R60" i="17"/>
  <c r="R33" i="17"/>
  <c r="R71" i="17"/>
  <c r="R101" i="17"/>
  <c r="R63" i="17"/>
  <c r="R25" i="17"/>
  <c r="R100" i="17"/>
  <c r="R58" i="17"/>
  <c r="R82" i="17"/>
  <c r="R62" i="17"/>
  <c r="M89" i="17"/>
  <c r="K30" i="14" s="1"/>
  <c r="R59" i="17"/>
  <c r="R64" i="17"/>
  <c r="R94" i="17"/>
  <c r="R26" i="17"/>
  <c r="G78" i="17"/>
  <c r="G47" i="17"/>
  <c r="R123" i="17"/>
  <c r="M27" i="17"/>
  <c r="R27" i="17" s="1"/>
  <c r="R74" i="17"/>
  <c r="R76" i="17" s="1"/>
  <c r="R121" i="17"/>
  <c r="R36" i="17"/>
  <c r="K22" i="14"/>
  <c r="J27" i="14"/>
  <c r="L27" i="14"/>
  <c r="R81" i="17"/>
  <c r="R84" i="17" l="1"/>
  <c r="R155" i="17"/>
  <c r="M36" i="14" s="1"/>
  <c r="R45" i="17"/>
  <c r="M15" i="14" s="1"/>
  <c r="S103" i="17"/>
  <c r="S89" i="17"/>
  <c r="L23" i="14"/>
  <c r="M23" i="14" s="1"/>
  <c r="S76" i="17"/>
  <c r="R30" i="17"/>
  <c r="R125" i="17"/>
  <c r="M35" i="14" s="1"/>
  <c r="R103" i="17"/>
  <c r="M33" i="14" s="1"/>
  <c r="R66" i="17"/>
  <c r="R78" i="17" s="1"/>
  <c r="P47" i="17"/>
  <c r="P164" i="17"/>
  <c r="L15" i="14"/>
  <c r="J15" i="14"/>
  <c r="J164" i="17"/>
  <c r="M30" i="17"/>
  <c r="S30" i="17" s="1"/>
  <c r="R120" i="17"/>
  <c r="S125" i="17" s="1"/>
  <c r="M45" i="17"/>
  <c r="M164" i="17" s="1"/>
  <c r="G52" i="17"/>
  <c r="I24" i="14"/>
  <c r="J47" i="17"/>
  <c r="P157" i="17"/>
  <c r="L37" i="14" s="1"/>
  <c r="I50" i="17"/>
  <c r="J50" i="17" s="1"/>
  <c r="K27" i="14"/>
  <c r="M27" i="14" s="1"/>
  <c r="J157" i="17"/>
  <c r="M30" i="14"/>
  <c r="O50" i="17"/>
  <c r="P50" i="17" s="1"/>
  <c r="L14" i="14"/>
  <c r="I16" i="14"/>
  <c r="K24" i="14"/>
  <c r="P78" i="17"/>
  <c r="S78" i="17" s="1"/>
  <c r="L22" i="14"/>
  <c r="J78" i="17"/>
  <c r="J22" i="14"/>
  <c r="M78" i="17"/>
  <c r="R47" i="17" l="1"/>
  <c r="L24" i="14"/>
  <c r="K14" i="14"/>
  <c r="M14" i="14"/>
  <c r="S45" i="17"/>
  <c r="S157" i="17"/>
  <c r="L43" i="14"/>
  <c r="K43" i="14"/>
  <c r="J43" i="14"/>
  <c r="R164" i="17"/>
  <c r="K15" i="14"/>
  <c r="P52" i="17"/>
  <c r="L19" i="14" s="1"/>
  <c r="J52" i="17"/>
  <c r="J19" i="14" s="1"/>
  <c r="J16" i="14"/>
  <c r="L16" i="14"/>
  <c r="G159" i="17"/>
  <c r="J37" i="14"/>
  <c r="M157" i="17"/>
  <c r="K37" i="14" s="1"/>
  <c r="I19" i="14"/>
  <c r="J24" i="14"/>
  <c r="M22" i="14"/>
  <c r="M24" i="14" s="1"/>
  <c r="L50" i="17"/>
  <c r="M50" i="17" s="1"/>
  <c r="M47" i="17"/>
  <c r="S47" i="17" s="1"/>
  <c r="I37" i="14"/>
  <c r="R157" i="17" l="1"/>
  <c r="G165" i="17"/>
  <c r="I44" i="14" s="1"/>
  <c r="M43" i="14"/>
  <c r="P159" i="17"/>
  <c r="M52" i="17"/>
  <c r="M159" i="17" s="1"/>
  <c r="J159" i="17"/>
  <c r="I39" i="14"/>
  <c r="M16" i="14"/>
  <c r="M37" i="14"/>
  <c r="K16" i="14"/>
  <c r="R50" i="17"/>
  <c r="R52" i="17" s="1"/>
  <c r="R159" i="17" l="1"/>
  <c r="S52" i="17"/>
  <c r="G167" i="17"/>
  <c r="G169" i="17" s="1"/>
  <c r="M165" i="17"/>
  <c r="M167" i="17" s="1"/>
  <c r="K46" i="14" s="1"/>
  <c r="J165" i="17"/>
  <c r="J167" i="17" s="1"/>
  <c r="J169" i="17" s="1"/>
  <c r="S159" i="17"/>
  <c r="P165" i="17"/>
  <c r="L44" i="14" s="1"/>
  <c r="L39" i="14"/>
  <c r="J39" i="14"/>
  <c r="K19" i="14"/>
  <c r="M19" i="14"/>
  <c r="K39" i="14"/>
  <c r="I46" i="14" l="1"/>
  <c r="J44" i="14"/>
  <c r="R165" i="17"/>
  <c r="R167" i="17" s="1"/>
  <c r="R169" i="17" s="1"/>
  <c r="K44" i="14"/>
  <c r="P167" i="17"/>
  <c r="S167" i="17" s="1"/>
  <c r="M169" i="17"/>
  <c r="F9" i="17"/>
  <c r="J46" i="14"/>
  <c r="M39" i="14"/>
  <c r="J49" i="14"/>
  <c r="F8" i="17"/>
  <c r="I49" i="14"/>
  <c r="J149" i="15"/>
  <c r="L149" i="15"/>
  <c r="M149" i="15" s="1"/>
  <c r="Q149" i="15"/>
  <c r="Q142" i="15"/>
  <c r="L142" i="15"/>
  <c r="O142" i="15" s="1"/>
  <c r="P142" i="15" s="1"/>
  <c r="J142" i="15"/>
  <c r="G142" i="15"/>
  <c r="G82" i="15"/>
  <c r="I82" i="15"/>
  <c r="J82" i="15" s="1"/>
  <c r="Q82" i="15"/>
  <c r="L96" i="15"/>
  <c r="M96" i="15" s="1"/>
  <c r="G96" i="15"/>
  <c r="J96" i="15"/>
  <c r="M46" i="14" l="1"/>
  <c r="M44" i="14"/>
  <c r="P169" i="17"/>
  <c r="L49" i="14" s="1"/>
  <c r="L46" i="14"/>
  <c r="F12" i="17"/>
  <c r="M49" i="14"/>
  <c r="L82" i="15"/>
  <c r="M82" i="15" s="1"/>
  <c r="O96" i="15"/>
  <c r="P96" i="15" s="1"/>
  <c r="R96" i="15" s="1"/>
  <c r="O149" i="15"/>
  <c r="P149" i="15" s="1"/>
  <c r="M142" i="15"/>
  <c r="S169" i="17" l="1"/>
  <c r="F11" i="17"/>
  <c r="R142" i="15"/>
  <c r="F10" i="17"/>
  <c r="K49" i="14"/>
  <c r="O82" i="15"/>
  <c r="P82" i="15" s="1"/>
  <c r="R82" i="15" s="1"/>
  <c r="Q123" i="15" l="1"/>
  <c r="I123" i="15"/>
  <c r="L123" i="15" s="1"/>
  <c r="G123" i="15"/>
  <c r="Q118" i="15"/>
  <c r="I118" i="15"/>
  <c r="J118" i="15" s="1"/>
  <c r="Q110" i="15"/>
  <c r="I110" i="15"/>
  <c r="J110" i="15" s="1"/>
  <c r="G110" i="15"/>
  <c r="Q87" i="15"/>
  <c r="I87" i="15"/>
  <c r="L87" i="15" s="1"/>
  <c r="G87" i="15"/>
  <c r="G89" i="15" s="1"/>
  <c r="Q109" i="15"/>
  <c r="I109" i="15"/>
  <c r="L109" i="15" s="1"/>
  <c r="G109" i="15"/>
  <c r="Q107" i="15"/>
  <c r="I107" i="15"/>
  <c r="L107" i="15" s="1"/>
  <c r="O107" i="15" s="1"/>
  <c r="P107" i="15" s="1"/>
  <c r="G107" i="15"/>
  <c r="G125" i="15" l="1"/>
  <c r="C35" i="14" s="1"/>
  <c r="G114" i="15"/>
  <c r="L110" i="15"/>
  <c r="M110" i="15" s="1"/>
  <c r="J107" i="15"/>
  <c r="O109" i="15"/>
  <c r="P109" i="15" s="1"/>
  <c r="M109" i="15"/>
  <c r="O87" i="15"/>
  <c r="P87" i="15" s="1"/>
  <c r="P89" i="15" s="1"/>
  <c r="M87" i="15"/>
  <c r="M89" i="15" s="1"/>
  <c r="O123" i="15"/>
  <c r="P123" i="15" s="1"/>
  <c r="M123" i="15"/>
  <c r="J109" i="15"/>
  <c r="M107" i="15"/>
  <c r="L118" i="15"/>
  <c r="J87" i="15"/>
  <c r="J89" i="15" s="1"/>
  <c r="J123" i="15"/>
  <c r="J125" i="15" s="1"/>
  <c r="D35" i="14" s="1"/>
  <c r="G25" i="15"/>
  <c r="G26" i="15"/>
  <c r="G58" i="15"/>
  <c r="G59" i="15"/>
  <c r="G60" i="15"/>
  <c r="G81" i="15"/>
  <c r="G84" i="15" s="1"/>
  <c r="G35" i="15"/>
  <c r="I35" i="15"/>
  <c r="L35" i="15" s="1"/>
  <c r="O35" i="15" s="1"/>
  <c r="P35" i="15" s="1"/>
  <c r="Q35" i="15"/>
  <c r="G34" i="15"/>
  <c r="I34" i="15"/>
  <c r="J34" i="15" s="1"/>
  <c r="Q34" i="15"/>
  <c r="G33" i="15"/>
  <c r="I33" i="15"/>
  <c r="L33" i="15" s="1"/>
  <c r="O33" i="15" s="1"/>
  <c r="P33" i="15" s="1"/>
  <c r="Q33" i="15"/>
  <c r="G36" i="15"/>
  <c r="G27" i="15"/>
  <c r="G28" i="15"/>
  <c r="G62" i="15"/>
  <c r="G63" i="15"/>
  <c r="G64" i="15"/>
  <c r="G71" i="15"/>
  <c r="G74" i="15"/>
  <c r="G94" i="15"/>
  <c r="G143" i="15"/>
  <c r="G147" i="15"/>
  <c r="G149" i="15"/>
  <c r="G150" i="15"/>
  <c r="G100" i="15"/>
  <c r="G101" i="15"/>
  <c r="I36" i="15"/>
  <c r="I25" i="15"/>
  <c r="I26" i="15"/>
  <c r="J26" i="15" s="1"/>
  <c r="I27" i="15"/>
  <c r="J27" i="15" s="1"/>
  <c r="I28" i="15"/>
  <c r="H50" i="15"/>
  <c r="I58" i="15"/>
  <c r="I59" i="15"/>
  <c r="J59" i="15" s="1"/>
  <c r="I60" i="15"/>
  <c r="J60" i="15" s="1"/>
  <c r="I62" i="15"/>
  <c r="I63" i="15"/>
  <c r="J63" i="15" s="1"/>
  <c r="I64" i="15"/>
  <c r="J64" i="15" s="1"/>
  <c r="I71" i="15"/>
  <c r="J71" i="15" s="1"/>
  <c r="I74" i="15"/>
  <c r="I81" i="15"/>
  <c r="J81" i="15" s="1"/>
  <c r="J84" i="15" s="1"/>
  <c r="I94" i="15"/>
  <c r="L94" i="15" s="1"/>
  <c r="J143" i="15"/>
  <c r="J155" i="15" s="1"/>
  <c r="D36" i="14" s="1"/>
  <c r="J147" i="15"/>
  <c r="J150" i="15"/>
  <c r="I100" i="15"/>
  <c r="L100" i="15" s="1"/>
  <c r="I101" i="15"/>
  <c r="J101" i="15" s="1"/>
  <c r="K50" i="15"/>
  <c r="L143" i="15"/>
  <c r="M143" i="15" s="1"/>
  <c r="L147" i="15"/>
  <c r="M147" i="15" s="1"/>
  <c r="L150" i="15"/>
  <c r="M150" i="15" s="1"/>
  <c r="M99" i="15"/>
  <c r="N50" i="15"/>
  <c r="Q101" i="15"/>
  <c r="Q100" i="15"/>
  <c r="Q150" i="15"/>
  <c r="Q147" i="15"/>
  <c r="Q143" i="15"/>
  <c r="Q94" i="15"/>
  <c r="Q81" i="15"/>
  <c r="Q71" i="15"/>
  <c r="Q64" i="15"/>
  <c r="Q63" i="15"/>
  <c r="Q62" i="15"/>
  <c r="Q60" i="15"/>
  <c r="Q59" i="15"/>
  <c r="Q58" i="15"/>
  <c r="Q36" i="15"/>
  <c r="Q28" i="15"/>
  <c r="Q27" i="15"/>
  <c r="Q26" i="15"/>
  <c r="Q25" i="15"/>
  <c r="G155" i="15" l="1"/>
  <c r="S89" i="15"/>
  <c r="C34" i="14"/>
  <c r="G30" i="15"/>
  <c r="F50" i="15" s="1"/>
  <c r="G45" i="15"/>
  <c r="G66" i="15"/>
  <c r="M114" i="15"/>
  <c r="E34" i="14" s="1"/>
  <c r="J114" i="15"/>
  <c r="D34" i="14" s="1"/>
  <c r="G103" i="15"/>
  <c r="M155" i="15"/>
  <c r="E36" i="14" s="1"/>
  <c r="G76" i="15"/>
  <c r="R109" i="15"/>
  <c r="R123" i="15"/>
  <c r="R107" i="15"/>
  <c r="O110" i="15"/>
  <c r="P110" i="15" s="1"/>
  <c r="P114" i="15" s="1"/>
  <c r="F34" i="14" s="1"/>
  <c r="R149" i="15"/>
  <c r="C30" i="14"/>
  <c r="D27" i="14"/>
  <c r="J58" i="15"/>
  <c r="L58" i="15"/>
  <c r="C27" i="14"/>
  <c r="L71" i="15"/>
  <c r="O71" i="15" s="1"/>
  <c r="P71" i="15" s="1"/>
  <c r="L26" i="15"/>
  <c r="M26" i="15" s="1"/>
  <c r="J33" i="15"/>
  <c r="L60" i="15"/>
  <c r="O60" i="15" s="1"/>
  <c r="P60" i="15" s="1"/>
  <c r="L59" i="15"/>
  <c r="O59" i="15" s="1"/>
  <c r="P59" i="15" s="1"/>
  <c r="J35" i="15"/>
  <c r="O150" i="15"/>
  <c r="P150" i="15" s="1"/>
  <c r="L64" i="15"/>
  <c r="M64" i="15" s="1"/>
  <c r="J100" i="15"/>
  <c r="J94" i="15"/>
  <c r="L101" i="15"/>
  <c r="O101" i="15" s="1"/>
  <c r="P101" i="15" s="1"/>
  <c r="L27" i="15"/>
  <c r="M27" i="15" s="1"/>
  <c r="L34" i="15"/>
  <c r="M34" i="15" s="1"/>
  <c r="O147" i="15"/>
  <c r="P147" i="15" s="1"/>
  <c r="R147" i="15" s="1"/>
  <c r="O143" i="15"/>
  <c r="P143" i="15" s="1"/>
  <c r="L81" i="15"/>
  <c r="O81" i="15" s="1"/>
  <c r="R87" i="15"/>
  <c r="R89" i="15" s="1"/>
  <c r="O118" i="15"/>
  <c r="P118" i="15" s="1"/>
  <c r="P125" i="15" s="1"/>
  <c r="F35" i="14" s="1"/>
  <c r="M118" i="15"/>
  <c r="M125" i="15" s="1"/>
  <c r="E35" i="14" s="1"/>
  <c r="J62" i="15"/>
  <c r="L62" i="15"/>
  <c r="M94" i="15"/>
  <c r="O94" i="15"/>
  <c r="P94" i="15" s="1"/>
  <c r="J28" i="15"/>
  <c r="L28" i="15"/>
  <c r="J74" i="15"/>
  <c r="J76" i="15" s="1"/>
  <c r="L74" i="15"/>
  <c r="O100" i="15"/>
  <c r="P100" i="15" s="1"/>
  <c r="M100" i="15"/>
  <c r="M33" i="15"/>
  <c r="M35" i="15"/>
  <c r="J36" i="15"/>
  <c r="L36" i="15"/>
  <c r="L25" i="15"/>
  <c r="J25" i="15"/>
  <c r="L63" i="15"/>
  <c r="P103" i="15" l="1"/>
  <c r="F33" i="14" s="1"/>
  <c r="J30" i="15"/>
  <c r="C22" i="14"/>
  <c r="R114" i="15"/>
  <c r="G34" i="14" s="1"/>
  <c r="R125" i="15"/>
  <c r="C36" i="14"/>
  <c r="G164" i="15"/>
  <c r="C43" i="14" s="1"/>
  <c r="C33" i="14"/>
  <c r="G78" i="15"/>
  <c r="J66" i="15"/>
  <c r="J78" i="15" s="1"/>
  <c r="J103" i="15"/>
  <c r="D33" i="14" s="1"/>
  <c r="G47" i="15"/>
  <c r="J45" i="15"/>
  <c r="R143" i="15"/>
  <c r="P155" i="15"/>
  <c r="F36" i="14" s="1"/>
  <c r="G157" i="15"/>
  <c r="R100" i="15"/>
  <c r="R94" i="15"/>
  <c r="R110" i="15"/>
  <c r="S114" i="15" s="1"/>
  <c r="C15" i="14"/>
  <c r="C14" i="14"/>
  <c r="R150" i="15"/>
  <c r="D30" i="14"/>
  <c r="E30" i="14"/>
  <c r="R118" i="15"/>
  <c r="S125" i="15" s="1"/>
  <c r="G30" i="14"/>
  <c r="F30" i="14"/>
  <c r="M71" i="15"/>
  <c r="R71" i="15" s="1"/>
  <c r="R33" i="15"/>
  <c r="R35" i="15"/>
  <c r="M60" i="15"/>
  <c r="R60" i="15" s="1"/>
  <c r="M59" i="15"/>
  <c r="R59" i="15" s="1"/>
  <c r="O26" i="15"/>
  <c r="P26" i="15" s="1"/>
  <c r="R26" i="15" s="1"/>
  <c r="O27" i="15"/>
  <c r="P27" i="15" s="1"/>
  <c r="R27" i="15" s="1"/>
  <c r="M101" i="15"/>
  <c r="R101" i="15" s="1"/>
  <c r="O64" i="15"/>
  <c r="P64" i="15" s="1"/>
  <c r="R64" i="15" s="1"/>
  <c r="O34" i="15"/>
  <c r="P34" i="15" s="1"/>
  <c r="M81" i="15"/>
  <c r="M84" i="15" s="1"/>
  <c r="P81" i="15"/>
  <c r="P84" i="15" s="1"/>
  <c r="D14" i="14"/>
  <c r="C23" i="14"/>
  <c r="M63" i="15"/>
  <c r="O63" i="15"/>
  <c r="P63" i="15" s="1"/>
  <c r="G50" i="15"/>
  <c r="G52" i="15" s="1"/>
  <c r="M25" i="15"/>
  <c r="O25" i="15"/>
  <c r="P25" i="15" s="1"/>
  <c r="M62" i="15"/>
  <c r="O62" i="15"/>
  <c r="P62" i="15" s="1"/>
  <c r="M36" i="15"/>
  <c r="O36" i="15"/>
  <c r="P36" i="15" s="1"/>
  <c r="M28" i="15"/>
  <c r="O28" i="15"/>
  <c r="P28" i="15" s="1"/>
  <c r="D23" i="14"/>
  <c r="M58" i="15"/>
  <c r="O58" i="15"/>
  <c r="P58" i="15" s="1"/>
  <c r="O74" i="15"/>
  <c r="P74" i="15" s="1"/>
  <c r="P76" i="15" s="1"/>
  <c r="M74" i="15"/>
  <c r="S155" i="15" l="1"/>
  <c r="M66" i="15"/>
  <c r="S84" i="15"/>
  <c r="S103" i="15"/>
  <c r="R155" i="15"/>
  <c r="G36" i="14" s="1"/>
  <c r="J157" i="15"/>
  <c r="D37" i="14" s="1"/>
  <c r="G159" i="15"/>
  <c r="G165" i="15" s="1"/>
  <c r="G35" i="14"/>
  <c r="D15" i="14"/>
  <c r="J164" i="15"/>
  <c r="P66" i="15"/>
  <c r="F22" i="14" s="1"/>
  <c r="M45" i="15"/>
  <c r="M164" i="15" s="1"/>
  <c r="M30" i="15"/>
  <c r="S30" i="15" s="1"/>
  <c r="J47" i="15"/>
  <c r="P45" i="15"/>
  <c r="P164" i="15" s="1"/>
  <c r="M103" i="15"/>
  <c r="E33" i="14" s="1"/>
  <c r="M76" i="15"/>
  <c r="P30" i="15"/>
  <c r="P157" i="15"/>
  <c r="D22" i="14"/>
  <c r="D24" i="14" s="1"/>
  <c r="C37" i="14"/>
  <c r="R34" i="15"/>
  <c r="F27" i="14"/>
  <c r="F23" i="14"/>
  <c r="R81" i="15"/>
  <c r="R84" i="15" s="1"/>
  <c r="R28" i="15"/>
  <c r="R62" i="15"/>
  <c r="I50" i="15"/>
  <c r="J50" i="15" s="1"/>
  <c r="J52" i="15" s="1"/>
  <c r="R25" i="15"/>
  <c r="R30" i="15" s="1"/>
  <c r="R58" i="15"/>
  <c r="R74" i="15"/>
  <c r="R76" i="15" s="1"/>
  <c r="C24" i="14"/>
  <c r="C16" i="14"/>
  <c r="R63" i="15"/>
  <c r="R36" i="15"/>
  <c r="R45" i="15" l="1"/>
  <c r="R47" i="15" s="1"/>
  <c r="S66" i="15"/>
  <c r="M78" i="15"/>
  <c r="S76" i="15"/>
  <c r="R66" i="15"/>
  <c r="R78" i="15" s="1"/>
  <c r="S45" i="15"/>
  <c r="R103" i="15"/>
  <c r="F43" i="14"/>
  <c r="E43" i="14"/>
  <c r="G169" i="15"/>
  <c r="C44" i="14"/>
  <c r="G167" i="15"/>
  <c r="D43" i="14"/>
  <c r="E15" i="14"/>
  <c r="M47" i="15"/>
  <c r="G14" i="14"/>
  <c r="J159" i="15"/>
  <c r="F15" i="14"/>
  <c r="F14" i="14"/>
  <c r="P78" i="15"/>
  <c r="P47" i="15"/>
  <c r="C19" i="14"/>
  <c r="E23" i="14"/>
  <c r="G23" i="14" s="1"/>
  <c r="F37" i="14"/>
  <c r="E27" i="14"/>
  <c r="G27" i="14" s="1"/>
  <c r="E14" i="14"/>
  <c r="M157" i="15"/>
  <c r="R157" i="15" s="1"/>
  <c r="E22" i="14"/>
  <c r="F24" i="14"/>
  <c r="O50" i="15"/>
  <c r="P50" i="15" s="1"/>
  <c r="L50" i="15"/>
  <c r="M50" i="15" s="1"/>
  <c r="D16" i="14"/>
  <c r="S78" i="15" l="1"/>
  <c r="S47" i="15"/>
  <c r="S157" i="15"/>
  <c r="G33" i="14"/>
  <c r="J165" i="15"/>
  <c r="J169" i="15" s="1"/>
  <c r="C46" i="14"/>
  <c r="M52" i="15"/>
  <c r="P52" i="15"/>
  <c r="D19" i="14"/>
  <c r="E24" i="14"/>
  <c r="C39" i="14"/>
  <c r="G15" i="14"/>
  <c r="E37" i="14"/>
  <c r="G37" i="14" s="1"/>
  <c r="G22" i="14"/>
  <c r="G24" i="14" s="1"/>
  <c r="E16" i="14"/>
  <c r="F16" i="14"/>
  <c r="R50" i="15"/>
  <c r="R52" i="15" s="1"/>
  <c r="S159" i="15" s="1"/>
  <c r="S52" i="15" l="1"/>
  <c r="D44" i="14"/>
  <c r="J167" i="15"/>
  <c r="P159" i="15"/>
  <c r="M159" i="15"/>
  <c r="F19" i="14"/>
  <c r="E19" i="14"/>
  <c r="F9" i="15"/>
  <c r="D39" i="14"/>
  <c r="C49" i="14"/>
  <c r="G16" i="14"/>
  <c r="F8" i="15"/>
  <c r="R159" i="15" l="1"/>
  <c r="G39" i="14" s="1"/>
  <c r="D46" i="14"/>
  <c r="M165" i="15"/>
  <c r="M169" i="15" s="1"/>
  <c r="E39" i="14"/>
  <c r="P165" i="15"/>
  <c r="R164" i="15"/>
  <c r="G19" i="14"/>
  <c r="F39" i="14"/>
  <c r="P169" i="15" l="1"/>
  <c r="F11" i="15" s="1"/>
  <c r="F44" i="14"/>
  <c r="P167" i="15"/>
  <c r="F46" i="14" s="1"/>
  <c r="F49" i="14" s="1"/>
  <c r="G43" i="14"/>
  <c r="E44" i="14"/>
  <c r="M167" i="15"/>
  <c r="R165" i="15"/>
  <c r="F10" i="15"/>
  <c r="D49" i="14"/>
  <c r="S167" i="15" l="1"/>
  <c r="G44" i="14"/>
  <c r="R167" i="15"/>
  <c r="S169" i="15" s="1"/>
  <c r="R169" i="15"/>
  <c r="F12" i="15" s="1"/>
  <c r="E46" i="14"/>
  <c r="E49" i="14" s="1"/>
  <c r="G49" i="14" l="1"/>
  <c r="G46" i="14"/>
</calcChain>
</file>

<file path=xl/sharedStrings.xml><?xml version="1.0" encoding="utf-8"?>
<sst xmlns="http://schemas.openxmlformats.org/spreadsheetml/2006/main" count="689" uniqueCount="206">
  <si>
    <t>Year 1</t>
  </si>
  <si>
    <t>Year 2</t>
  </si>
  <si>
    <t>Year 3</t>
  </si>
  <si>
    <t xml:space="preserve">TOTAL </t>
  </si>
  <si>
    <t xml:space="preserve"> </t>
  </si>
  <si>
    <t>LINE ITEM DESCRIPTION</t>
  </si>
  <si>
    <t>UNITS</t>
  </si>
  <si>
    <t>RATE</t>
  </si>
  <si>
    <t>TOTAL $</t>
  </si>
  <si>
    <t>Finance Manager</t>
  </si>
  <si>
    <t>Subtotal Salaries and Wages</t>
  </si>
  <si>
    <t xml:space="preserve"> II.   FRINGE BENEFITS </t>
  </si>
  <si>
    <t>Subtotal Fringe Benefits</t>
  </si>
  <si>
    <t>III. TRAVEL AND PER DIEM</t>
  </si>
  <si>
    <t>A.  International Travel - STTA</t>
  </si>
  <si>
    <t>Subtotal International Travel - STTA</t>
  </si>
  <si>
    <t>B. Local Travel</t>
  </si>
  <si>
    <t>IV. EQUIPMENT</t>
  </si>
  <si>
    <t>V. EXPENDABLE SUPPLIES</t>
  </si>
  <si>
    <t xml:space="preserve">VII. OTHER DIRECT COSTS </t>
  </si>
  <si>
    <t>Publication fees</t>
  </si>
  <si>
    <t>VIII.  INDIRECT COSTS (IDC):</t>
  </si>
  <si>
    <t>GENERAL</t>
  </si>
  <si>
    <t>TRAINING</t>
  </si>
  <si>
    <t>Admin Manager</t>
  </si>
  <si>
    <t>Durability Monitoring Detailed Budget</t>
  </si>
  <si>
    <t xml:space="preserve">Project No. </t>
  </si>
  <si>
    <t>Local transport - PI within major city</t>
  </si>
  <si>
    <t>Workshop travel - local</t>
  </si>
  <si>
    <t>Training personnel</t>
  </si>
  <si>
    <t>International shipping of nets to lab testing facility</t>
  </si>
  <si>
    <t>Training Workshop costs</t>
  </si>
  <si>
    <t>Subaward to : [Institution]</t>
  </si>
  <si>
    <t>Local NMCP Representative (1 per site)</t>
  </si>
  <si>
    <t>Set</t>
  </si>
  <si>
    <t>Variable</t>
  </si>
  <si>
    <t>If cost varies</t>
  </si>
  <si>
    <t>COST TYPE</t>
  </si>
  <si>
    <t>International shipping of sample to labs</t>
  </si>
  <si>
    <t>Results dissemination and publication</t>
  </si>
  <si>
    <t>adjust as needed</t>
  </si>
  <si>
    <t>Checks</t>
  </si>
  <si>
    <t>Baseline</t>
  </si>
  <si>
    <t>24 month</t>
  </si>
  <si>
    <t>36 month</t>
  </si>
  <si>
    <t xml:space="preserve">adjust as needed </t>
  </si>
  <si>
    <t>12 month</t>
  </si>
  <si>
    <t>Subtotal Travel and Per Diem</t>
  </si>
  <si>
    <t>Subtotal Equipment</t>
  </si>
  <si>
    <t>Subtotal Expandable Supplies</t>
  </si>
  <si>
    <t>Subtotal Other Direct Costs</t>
  </si>
  <si>
    <t>Subtotal Local Travel</t>
  </si>
  <si>
    <t>TOTAL DIRECT COSTS</t>
  </si>
  <si>
    <t>TOTAL PROJECT COSTS</t>
  </si>
  <si>
    <t>B. Incountry Staff Salaries &amp; Fringe Benefits</t>
  </si>
  <si>
    <t>I. PERSONNEL (STAFF)</t>
  </si>
  <si>
    <t>Ethical review/IRB submission</t>
  </si>
  <si>
    <t>12 Month</t>
  </si>
  <si>
    <t>24 Month</t>
  </si>
  <si>
    <t>36 Month</t>
  </si>
  <si>
    <t>Total</t>
  </si>
  <si>
    <t>1 tablet per team + 1 backup per site</t>
  </si>
  <si>
    <t>Number of monitoring sites</t>
  </si>
  <si>
    <t xml:space="preserve">Year 4 - End of monitoring dissemination </t>
  </si>
  <si>
    <t>End of monitoring dissemination workshop</t>
  </si>
  <si>
    <t>Room rental</t>
  </si>
  <si>
    <t>Tablets</t>
  </si>
  <si>
    <t>Accessories</t>
  </si>
  <si>
    <t>RT Airfare</t>
  </si>
  <si>
    <t>Per diem</t>
  </si>
  <si>
    <t>Misc Travel Costs</t>
  </si>
  <si>
    <t>Car hire + fuel</t>
  </si>
  <si>
    <t>PI</t>
  </si>
  <si>
    <t>Analyst/Research Manager</t>
  </si>
  <si>
    <t>IT Coordinator</t>
  </si>
  <si>
    <t>Administration Manager</t>
  </si>
  <si>
    <t>A.  Implementing Partner Staff</t>
  </si>
  <si>
    <t>Year 1 - Baseline training and data collection</t>
  </si>
  <si>
    <t>Misc. Travel Costs</t>
  </si>
  <si>
    <t>Incl. visas, travel insurance, med.evac., local transport, and communications</t>
  </si>
  <si>
    <t>Server hosting fees</t>
  </si>
  <si>
    <t>Report translation</t>
  </si>
  <si>
    <t>Year 1 - baseline in-person training</t>
  </si>
  <si>
    <t>LAB WORK</t>
  </si>
  <si>
    <t>Yes</t>
  </si>
  <si>
    <t>2 Monitoring Sites</t>
  </si>
  <si>
    <t>fixed</t>
  </si>
  <si>
    <t>adjust as needed (1 or 2)</t>
  </si>
  <si>
    <t>Overview</t>
  </si>
  <si>
    <t>Co-PI</t>
  </si>
  <si>
    <t>Standard Pyrethroid ITNs</t>
  </si>
  <si>
    <t>Dual AI ITNs</t>
  </si>
  <si>
    <t>International chemical testing</t>
  </si>
  <si>
    <t>Subtotal  General</t>
  </si>
  <si>
    <t>Subtotal Training</t>
  </si>
  <si>
    <t>Subtotal  Fieldwork</t>
  </si>
  <si>
    <t>PBO-Synergist ITNs - All Sides</t>
  </si>
  <si>
    <t>PBO-Synergist ITNs - Roof Only</t>
  </si>
  <si>
    <t>[COUNTRY] Bioefficacy Monitoring of ITNs</t>
  </si>
  <si>
    <t>3 Monitoring Sites</t>
  </si>
  <si>
    <t>B. Local Travel (for PI) while on STTA</t>
  </si>
  <si>
    <t>Assumed $30 per net. Units is number of sites; Rate is price per site.</t>
  </si>
  <si>
    <t>responsible for oversight of all project activities</t>
  </si>
  <si>
    <t>leads workplanning and assists with budget planning and payment to in-country partners</t>
  </si>
  <si>
    <t>leads budgeting and payment to in-country partners</t>
  </si>
  <si>
    <t>assists with IRB applications and work planning</t>
  </si>
  <si>
    <t>assists with budgeting</t>
  </si>
  <si>
    <t>manages set-up and maintenance of study tablets</t>
  </si>
  <si>
    <t>Data Collection Technician 1</t>
  </si>
  <si>
    <t>Data Collection Technician 2</t>
  </si>
  <si>
    <t>hard case, power bank, etc.</t>
  </si>
  <si>
    <t>1 NMCP Rep per site</t>
  </si>
  <si>
    <t>Replacement nets and bags to collect nets</t>
  </si>
  <si>
    <t>Assumed $70 per net. Units is number of sites; Rate is price per site.</t>
  </si>
  <si>
    <t>Assumed $100 per net. Units is number of sites; Rate is price per site.</t>
  </si>
  <si>
    <t>Units is number of sites; Rate is price per site.</t>
  </si>
  <si>
    <t>Includes G&amp;A and subaward management fees</t>
  </si>
  <si>
    <t>Internet data package for remote training</t>
  </si>
  <si>
    <t>Phone and data credits</t>
  </si>
  <si>
    <t>Coffee break/lunch for in-person training</t>
  </si>
  <si>
    <t>adjust as needed (yes/no)</t>
  </si>
  <si>
    <t>STTA for baseline training</t>
  </si>
  <si>
    <t>based on inputs</t>
  </si>
  <si>
    <t>day-to-day management of project activities including training, fieldwork, and reporting</t>
  </si>
  <si>
    <t>responsible for in-country oversight, leading training and fieldwork with in-country staff</t>
  </si>
  <si>
    <t>Implementing Partner PI or Research Manager</t>
  </si>
  <si>
    <t>In-person training material packs</t>
  </si>
  <si>
    <t># Data collectors + # Trainers + 1 NMCP Rep per site / one pack each</t>
  </si>
  <si>
    <t>Initial local submission plus continuing annual review</t>
  </si>
  <si>
    <t>Assume max 2 months hosting per round</t>
  </si>
  <si>
    <t>Report translation required</t>
  </si>
  <si>
    <t>Translation of monitoring round report</t>
  </si>
  <si>
    <t>Room hire, refreshments, printing, also webinar hosting fees etc.</t>
  </si>
  <si>
    <t>Target journal for open source publishing: Malaria Journal</t>
  </si>
  <si>
    <t>Daily subsistence allowance for 2 Reps * # of training days</t>
  </si>
  <si>
    <t>3 days at baseline with possible IP STTA; 2 day refresher training for follow-up rounds with remote IP participation</t>
  </si>
  <si>
    <t>Assumed $5 per net. Units is number of sites; Rate is price per site</t>
  </si>
  <si>
    <t>Only applicable if lab is out of the country</t>
  </si>
  <si>
    <t># Data collectors + 2 Trainers + 1 NMCP Rep per site / # people * # days</t>
  </si>
  <si>
    <t># Data collectors + 1 Trainers + 1 NMCP Rep per site / # people * # days</t>
  </si>
  <si>
    <t>3 days at baseline 2 days for follow-up</t>
  </si>
  <si>
    <t>attends trainings, conducts fieldwork, completes net hole assessment, and conducts bioassays</t>
  </si>
  <si>
    <t>Lab Technician</t>
  </si>
  <si>
    <t>responsible for maintaining mosquito colonies</t>
  </si>
  <si>
    <t>Fringe rate for IP HQ staff</t>
  </si>
  <si>
    <t>IDC rate for IP HQ line items</t>
  </si>
  <si>
    <t>Annual inflation rate</t>
  </si>
  <si>
    <t>in rows 11-15</t>
  </si>
  <si>
    <t>A.  Implementing Partner HQ Staff</t>
  </si>
  <si>
    <t>B. In-Country Partner Staff Salaries</t>
  </si>
  <si>
    <t xml:space="preserve">    Subtotal Implementing Partner HQ Staff</t>
  </si>
  <si>
    <t>Implementing partner HQ staff salaries</t>
  </si>
  <si>
    <t>FIELDWORK</t>
  </si>
  <si>
    <t>Fieldwork personnel</t>
  </si>
  <si>
    <t>Fieldwork costs</t>
  </si>
  <si>
    <t>Other fieldwork costs</t>
  </si>
  <si>
    <t>Set (days)</t>
  </si>
  <si>
    <t>IDC rate for in-country partner line items</t>
  </si>
  <si>
    <t>Implementing Partner HQ IDC</t>
  </si>
  <si>
    <t>Data Collection Team 1</t>
  </si>
  <si>
    <t>Data Collection Team 2</t>
  </si>
  <si>
    <t>Subtotal In-Country Partner Staff Salaries</t>
  </si>
  <si>
    <t>General</t>
  </si>
  <si>
    <t>Training</t>
  </si>
  <si>
    <t>Fieldwork</t>
  </si>
  <si>
    <t>Lab Work</t>
  </si>
  <si>
    <t>Subtotal  Lab Work</t>
  </si>
  <si>
    <t>In-Country Partner IDC</t>
  </si>
  <si>
    <t>Subtotal IDC</t>
  </si>
  <si>
    <t>TOTAL INDIRECT COSTS</t>
  </si>
  <si>
    <t>* Assumed that NMCP participation only attracts daily subsistence allowance and transport costs but not per diem</t>
  </si>
  <si>
    <t>Variable (days)</t>
  </si>
  <si>
    <t>Variable (packs)</t>
  </si>
  <si>
    <t>Set (months)</t>
  </si>
  <si>
    <t>Set (sites)</t>
  </si>
  <si>
    <t>Variable (person days)</t>
  </si>
  <si>
    <t>Variable (reports)</t>
  </si>
  <si>
    <t>Daily subsistence allowance / 1 Rep per site * # of training days</t>
  </si>
  <si>
    <t>Set (person days)</t>
  </si>
  <si>
    <t># Data collectors + 2 Trainers + 1 NMCP Rep per site * # days</t>
  </si>
  <si>
    <t># Data collectors + 1 Trainers + 1 NMCP Rep per site * # days</t>
  </si>
  <si>
    <t>Variable (meals)</t>
  </si>
  <si>
    <t>Daily susbsistence allowance / # days per site * # 1 Rep per site</t>
  </si>
  <si>
    <t>ITN Bioefficacy Monitoring Budget - 2 Sites</t>
  </si>
  <si>
    <t>ITN Bioefficacy Monitoring Budget - 3 Sites</t>
  </si>
  <si>
    <t>[# Data collectors * # days] + [# days per site * 1 NMCP Rep per site]</t>
  </si>
  <si>
    <t>Number of field teams</t>
  </si>
  <si>
    <t>No</t>
  </si>
  <si>
    <t xml:space="preserve">Insecticide content testing </t>
  </si>
  <si>
    <t>Bioassays (Pre-Distribution)</t>
  </si>
  <si>
    <t>Bioassays (Follow-Up)</t>
  </si>
  <si>
    <t>45 nets per site</t>
  </si>
  <si>
    <t>Insecticide content testing (Follow-Up)</t>
  </si>
  <si>
    <t>PBO-Synergist ITNs - PBO on Roof Only</t>
  </si>
  <si>
    <t>PBO-Synergist ITNs - PBO on All Sides</t>
  </si>
  <si>
    <t>Bioassays (Baseline)</t>
  </si>
  <si>
    <t>30 nets per site</t>
  </si>
  <si>
    <t>[COUNTRY] Streamlined Durability Monitoring of ITNs</t>
  </si>
  <si>
    <r>
      <t xml:space="preserve">Baseline: </t>
    </r>
    <r>
      <rPr>
        <sz val="12"/>
        <rFont val="Times New Roman"/>
        <family val="1"/>
      </rPr>
      <t xml:space="preserve">17 days/site with 1 team/site </t>
    </r>
    <r>
      <rPr>
        <b/>
        <sz val="12"/>
        <rFont val="Times New Roman"/>
        <family val="1"/>
      </rPr>
      <t>Follow-Up:</t>
    </r>
    <r>
      <rPr>
        <sz val="12"/>
        <rFont val="Times New Roman"/>
        <family val="1"/>
      </rPr>
      <t xml:space="preserve"> 8 days/site with 1 team/site</t>
    </r>
  </si>
  <si>
    <r>
      <t xml:space="preserve">Baseline: </t>
    </r>
    <r>
      <rPr>
        <sz val="12"/>
        <color theme="5" tint="-0.249977111117893"/>
        <rFont val="Times New Roman"/>
        <family val="1"/>
      </rPr>
      <t xml:space="preserve">17 days/site with 1 team/site </t>
    </r>
    <r>
      <rPr>
        <b/>
        <sz val="12"/>
        <color theme="5" tint="-0.249977111117893"/>
        <rFont val="Times New Roman"/>
        <family val="1"/>
      </rPr>
      <t>Follow-Up:</t>
    </r>
    <r>
      <rPr>
        <sz val="12"/>
        <color theme="5" tint="-0.249977111117893"/>
        <rFont val="Times New Roman"/>
        <family val="1"/>
      </rPr>
      <t xml:space="preserve"> 8 days/site with 1 team/site</t>
    </r>
  </si>
  <si>
    <r>
      <t xml:space="preserve">Baseline: </t>
    </r>
    <r>
      <rPr>
        <sz val="12"/>
        <color theme="5" tint="-0.249977111117893"/>
        <rFont val="Times New Roman"/>
        <family val="1"/>
      </rPr>
      <t xml:space="preserve">17 days/site with 1 team/site </t>
    </r>
    <r>
      <rPr>
        <b/>
        <sz val="12"/>
        <color theme="5" tint="-0.249977111117893"/>
        <rFont val="Times New Roman"/>
        <family val="1"/>
      </rPr>
      <t>Follow-Up:</t>
    </r>
    <r>
      <rPr>
        <sz val="12"/>
        <color theme="5" tint="-0.249977111117893"/>
        <rFont val="Times New Roman"/>
        <family val="1"/>
      </rPr>
      <t xml:space="preserve"> 8 days/site with 1 team/site</t>
    </r>
    <r>
      <rPr>
        <b/>
        <sz val="12"/>
        <color theme="5" tint="-0.249977111117893"/>
        <rFont val="Times New Roman"/>
        <family val="1"/>
      </rPr>
      <t xml:space="preserve">  </t>
    </r>
    <r>
      <rPr>
        <sz val="12"/>
        <color theme="5" tint="-0.249977111117893"/>
        <rFont val="Times New Roman"/>
        <family val="1"/>
      </rPr>
      <t xml:space="preserve"> # days * # data collectors</t>
    </r>
  </si>
  <si>
    <t>Pre-distribution</t>
  </si>
  <si>
    <t>20 nets per site/brand</t>
  </si>
  <si>
    <t>Pre-Distribution</t>
  </si>
  <si>
    <r>
      <rPr>
        <b/>
        <sz val="12"/>
        <rFont val="Times New Roman"/>
        <family val="1"/>
      </rPr>
      <t>Pre-distribution</t>
    </r>
    <r>
      <rPr>
        <sz val="12"/>
        <rFont val="Times New Roman"/>
        <family val="1"/>
      </rPr>
      <t xml:space="preserve">: 30 nets per site </t>
    </r>
    <r>
      <rPr>
        <b/>
        <sz val="12"/>
        <rFont val="Times New Roman"/>
        <family val="1"/>
      </rPr>
      <t>Follow up</t>
    </r>
    <r>
      <rPr>
        <sz val="12"/>
        <rFont val="Times New Roman"/>
        <family val="1"/>
      </rPr>
      <t>: 30 nets per site</t>
    </r>
  </si>
  <si>
    <r>
      <rPr>
        <b/>
        <sz val="12"/>
        <rFont val="Times New Roman"/>
        <family val="1"/>
      </rPr>
      <t>Pre-distrubution</t>
    </r>
    <r>
      <rPr>
        <sz val="12"/>
        <rFont val="Times New Roman"/>
        <family val="1"/>
      </rPr>
      <t xml:space="preserve">: 30 nets per site </t>
    </r>
    <r>
      <rPr>
        <b/>
        <sz val="12"/>
        <rFont val="Times New Roman"/>
        <family val="1"/>
      </rPr>
      <t>Follow up</t>
    </r>
    <r>
      <rPr>
        <sz val="12"/>
        <rFont val="Times New Roman"/>
        <family val="1"/>
      </rPr>
      <t>: 30 nets per 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</si>
</sst>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0.0_)"/>
    <numFmt numFmtId="165" formatCode="mm/dd/yy"/>
    <numFmt numFmtId="166" formatCode="mm/dd/yy_)"/>
    <numFmt numFmtId="167" formatCode="0.00_)"/>
    <numFmt numFmtId="168" formatCode="0.0%"/>
    <numFmt numFmtId="169" formatCode="#,##0.0_);\(#,##0.0\)"/>
    <numFmt numFmtId="170" formatCode="0_)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12"/>
      <name val="Arial"/>
      <family val="2"/>
    </font>
    <font>
      <sz val="12"/>
      <color theme="9" tint="-0.249977111117893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7030A0"/>
      <name val="Times New Roman"/>
      <family val="1"/>
    </font>
    <font>
      <sz val="12"/>
      <color rgb="FFFF6600"/>
      <name val="Times New Roman"/>
      <family val="1"/>
    </font>
    <font>
      <sz val="12"/>
      <color theme="5" tint="-0.249977111117893"/>
      <name val="Times New Roman"/>
      <family val="1"/>
    </font>
    <font>
      <sz val="12"/>
      <color theme="9" tint="-0.249977111117893"/>
      <name val="Times New Roman"/>
      <family val="1"/>
    </font>
    <font>
      <sz val="12"/>
      <color rgb="FF1E1E1E"/>
      <name val="Times New Roman"/>
      <family val="1"/>
    </font>
    <font>
      <sz val="11"/>
      <name val="Calibri"/>
      <family val="2"/>
      <scheme val="minor"/>
    </font>
    <font>
      <b/>
      <sz val="12"/>
      <color theme="5" tint="-0.249977111117893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9"/>
      <name val="Times New Roman"/>
      <family val="1"/>
    </font>
    <font>
      <sz val="12"/>
      <color theme="0" tint="-0.149998474074526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indexed="8"/>
      </bottom>
      <diagonal/>
    </border>
    <border>
      <left/>
      <right style="thin">
        <color auto="1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indexed="64"/>
      </right>
      <top/>
      <bottom/>
      <diagonal/>
    </border>
    <border>
      <left style="thin">
        <color auto="1"/>
      </left>
      <right style="dotted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</borders>
  <cellStyleXfs count="43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7" fontId="3" fillId="0" borderId="0"/>
    <xf numFmtId="9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191">
    <xf numFmtId="0" fontId="0" fillId="0" borderId="0" xfId="0"/>
    <xf numFmtId="37" fontId="4" fillId="0" borderId="0" xfId="13" applyFont="1"/>
    <xf numFmtId="164" fontId="4" fillId="0" borderId="0" xfId="13" applyNumberFormat="1" applyFont="1"/>
    <xf numFmtId="37" fontId="5" fillId="0" borderId="0" xfId="13" applyFont="1"/>
    <xf numFmtId="37" fontId="6" fillId="0" borderId="0" xfId="13" applyFont="1"/>
    <xf numFmtId="37" fontId="3" fillId="0" borderId="0" xfId="13"/>
    <xf numFmtId="165" fontId="5" fillId="0" borderId="0" xfId="13" applyNumberFormat="1" applyFont="1"/>
    <xf numFmtId="166" fontId="5" fillId="0" borderId="0" xfId="13" applyNumberFormat="1" applyFont="1"/>
    <xf numFmtId="37" fontId="4" fillId="0" borderId="2" xfId="13" applyFont="1" applyBorder="1"/>
    <xf numFmtId="37" fontId="5" fillId="0" borderId="3" xfId="13" applyFont="1" applyBorder="1"/>
    <xf numFmtId="37" fontId="4" fillId="0" borderId="0" xfId="13" applyFont="1" applyAlignment="1">
      <alignment horizontal="center"/>
    </xf>
    <xf numFmtId="37" fontId="4" fillId="0" borderId="0" xfId="13" applyFont="1" applyAlignment="1">
      <alignment horizontal="fill"/>
    </xf>
    <xf numFmtId="37" fontId="4" fillId="0" borderId="4" xfId="13" applyFont="1" applyBorder="1"/>
    <xf numFmtId="37" fontId="4" fillId="0" borderId="4" xfId="13" applyFont="1" applyBorder="1" applyAlignment="1">
      <alignment horizontal="center"/>
    </xf>
    <xf numFmtId="37" fontId="5" fillId="0" borderId="5" xfId="13" applyFont="1" applyBorder="1" applyAlignment="1">
      <alignment horizontal="center"/>
    </xf>
    <xf numFmtId="167" fontId="4" fillId="0" borderId="0" xfId="13" applyNumberFormat="1" applyFont="1"/>
    <xf numFmtId="38" fontId="4" fillId="0" borderId="0" xfId="13" applyNumberFormat="1" applyFont="1"/>
    <xf numFmtId="38" fontId="5" fillId="0" borderId="0" xfId="13" applyNumberFormat="1" applyFont="1"/>
    <xf numFmtId="37" fontId="9" fillId="0" borderId="0" xfId="13" applyFont="1"/>
    <xf numFmtId="38" fontId="4" fillId="0" borderId="4" xfId="13" applyNumberFormat="1" applyFont="1" applyBorder="1"/>
    <xf numFmtId="39" fontId="5" fillId="0" borderId="0" xfId="13" applyNumberFormat="1" applyFont="1"/>
    <xf numFmtId="164" fontId="5" fillId="0" borderId="0" xfId="13" applyNumberFormat="1" applyFont="1"/>
    <xf numFmtId="37" fontId="5" fillId="0" borderId="4" xfId="13" applyFont="1" applyBorder="1"/>
    <xf numFmtId="38" fontId="5" fillId="0" borderId="4" xfId="13" applyNumberFormat="1" applyFont="1" applyBorder="1"/>
    <xf numFmtId="37" fontId="10" fillId="0" borderId="1" xfId="13" applyFont="1" applyBorder="1" applyAlignment="1">
      <alignment horizontal="left"/>
    </xf>
    <xf numFmtId="38" fontId="4" fillId="0" borderId="6" xfId="13" applyNumberFormat="1" applyFont="1" applyBorder="1"/>
    <xf numFmtId="167" fontId="5" fillId="0" borderId="0" xfId="13" applyNumberFormat="1" applyFont="1"/>
    <xf numFmtId="169" fontId="5" fillId="0" borderId="0" xfId="13" applyNumberFormat="1" applyFont="1"/>
    <xf numFmtId="37" fontId="4" fillId="0" borderId="1" xfId="13" applyFont="1" applyBorder="1" applyAlignment="1">
      <alignment horizontal="left" indent="2"/>
    </xf>
    <xf numFmtId="38" fontId="5" fillId="0" borderId="0" xfId="13" applyNumberFormat="1" applyFont="1" applyAlignment="1">
      <alignment horizontal="fill"/>
    </xf>
    <xf numFmtId="37" fontId="5" fillId="0" borderId="1" xfId="13" applyFont="1" applyBorder="1"/>
    <xf numFmtId="38" fontId="4" fillId="0" borderId="4" xfId="13" applyNumberFormat="1" applyFont="1" applyBorder="1" applyAlignment="1">
      <alignment horizontal="fill"/>
    </xf>
    <xf numFmtId="2" fontId="4" fillId="0" borderId="0" xfId="14" applyNumberFormat="1" applyFont="1" applyBorder="1" applyProtection="1"/>
    <xf numFmtId="38" fontId="5" fillId="0" borderId="8" xfId="13" applyNumberFormat="1" applyFont="1" applyBorder="1"/>
    <xf numFmtId="37" fontId="5" fillId="0" borderId="7" xfId="13" applyFont="1" applyBorder="1"/>
    <xf numFmtId="38" fontId="5" fillId="0" borderId="6" xfId="13" applyNumberFormat="1" applyFont="1" applyBorder="1"/>
    <xf numFmtId="170" fontId="4" fillId="0" borderId="0" xfId="13" applyNumberFormat="1" applyFont="1"/>
    <xf numFmtId="170" fontId="4" fillId="0" borderId="1" xfId="14" applyNumberFormat="1" applyFont="1" applyBorder="1" applyProtection="1"/>
    <xf numFmtId="170" fontId="4" fillId="0" borderId="1" xfId="14" applyNumberFormat="1" applyFont="1" applyFill="1" applyBorder="1" applyProtection="1"/>
    <xf numFmtId="170" fontId="4" fillId="0" borderId="0" xfId="14" applyNumberFormat="1" applyFont="1" applyBorder="1" applyProtection="1"/>
    <xf numFmtId="170" fontId="4" fillId="0" borderId="1" xfId="13" applyNumberFormat="1" applyFont="1" applyBorder="1"/>
    <xf numFmtId="170" fontId="5" fillId="0" borderId="0" xfId="13" applyNumberFormat="1" applyFont="1"/>
    <xf numFmtId="170" fontId="5" fillId="0" borderId="4" xfId="13" applyNumberFormat="1" applyFont="1" applyBorder="1"/>
    <xf numFmtId="170" fontId="3" fillId="0" borderId="0" xfId="13" applyNumberFormat="1"/>
    <xf numFmtId="170" fontId="4" fillId="0" borderId="7" xfId="14" applyNumberFormat="1" applyFont="1" applyBorder="1" applyProtection="1"/>
    <xf numFmtId="170" fontId="4" fillId="0" borderId="4" xfId="13" applyNumberFormat="1" applyFont="1" applyBorder="1"/>
    <xf numFmtId="37" fontId="5" fillId="0" borderId="0" xfId="13" applyFont="1" applyAlignment="1">
      <alignment horizontal="fill"/>
    </xf>
    <xf numFmtId="38" fontId="12" fillId="0" borderId="0" xfId="13" applyNumberFormat="1" applyFont="1"/>
    <xf numFmtId="37" fontId="4" fillId="0" borderId="1" xfId="13" applyFont="1" applyBorder="1"/>
    <xf numFmtId="37" fontId="13" fillId="0" borderId="0" xfId="13" applyFont="1"/>
    <xf numFmtId="170" fontId="5" fillId="0" borderId="1" xfId="13" applyNumberFormat="1" applyFont="1" applyBorder="1"/>
    <xf numFmtId="170" fontId="5" fillId="0" borderId="7" xfId="13" applyNumberFormat="1" applyFont="1" applyBorder="1"/>
    <xf numFmtId="170" fontId="3" fillId="0" borderId="1" xfId="13" applyNumberFormat="1" applyBorder="1"/>
    <xf numFmtId="170" fontId="4" fillId="0" borderId="7" xfId="13" applyNumberFormat="1" applyFont="1" applyBorder="1"/>
    <xf numFmtId="38" fontId="5" fillId="0" borderId="6" xfId="13" applyNumberFormat="1" applyFont="1" applyBorder="1" applyAlignment="1">
      <alignment horizontal="fill"/>
    </xf>
    <xf numFmtId="38" fontId="4" fillId="0" borderId="10" xfId="13" applyNumberFormat="1" applyFont="1" applyBorder="1"/>
    <xf numFmtId="38" fontId="11" fillId="0" borderId="6" xfId="13" applyNumberFormat="1" applyFont="1" applyBorder="1"/>
    <xf numFmtId="37" fontId="3" fillId="0" borderId="6" xfId="13" applyBorder="1"/>
    <xf numFmtId="38" fontId="4" fillId="0" borderId="8" xfId="13" applyNumberFormat="1" applyFont="1" applyBorder="1" applyAlignment="1">
      <alignment horizontal="fill"/>
    </xf>
    <xf numFmtId="167" fontId="14" fillId="0" borderId="0" xfId="13" applyNumberFormat="1" applyFont="1"/>
    <xf numFmtId="170" fontId="4" fillId="0" borderId="2" xfId="13" applyNumberFormat="1" applyFont="1" applyBorder="1"/>
    <xf numFmtId="170" fontId="4" fillId="0" borderId="4" xfId="13" applyNumberFormat="1" applyFont="1" applyBorder="1" applyAlignment="1">
      <alignment horizontal="center"/>
    </xf>
    <xf numFmtId="37" fontId="4" fillId="0" borderId="11" xfId="13" applyFont="1" applyBorder="1"/>
    <xf numFmtId="37" fontId="4" fillId="0" borderId="12" xfId="13" applyFont="1" applyBorder="1"/>
    <xf numFmtId="37" fontId="4" fillId="0" borderId="13" xfId="13" applyFont="1" applyBorder="1"/>
    <xf numFmtId="37" fontId="5" fillId="0" borderId="12" xfId="13" applyFont="1" applyBorder="1"/>
    <xf numFmtId="37" fontId="5" fillId="0" borderId="13" xfId="13" applyFont="1" applyBorder="1"/>
    <xf numFmtId="170" fontId="4" fillId="0" borderId="7" xfId="13" applyNumberFormat="1" applyFont="1" applyBorder="1" applyAlignment="1">
      <alignment horizontal="center"/>
    </xf>
    <xf numFmtId="170" fontId="4" fillId="0" borderId="1" xfId="13" applyNumberFormat="1" applyFont="1" applyBorder="1" applyAlignment="1">
      <alignment horizontal="fill"/>
    </xf>
    <xf numFmtId="170" fontId="4" fillId="0" borderId="0" xfId="13" applyNumberFormat="1" applyFont="1" applyAlignment="1">
      <alignment horizontal="fill"/>
    </xf>
    <xf numFmtId="170" fontId="4" fillId="0" borderId="0" xfId="14" applyNumberFormat="1" applyFont="1" applyFill="1" applyBorder="1" applyProtection="1"/>
    <xf numFmtId="37" fontId="4" fillId="0" borderId="6" xfId="13" applyFont="1" applyBorder="1"/>
    <xf numFmtId="37" fontId="4" fillId="0" borderId="8" xfId="13" applyFont="1" applyBorder="1" applyAlignment="1">
      <alignment horizontal="center"/>
    </xf>
    <xf numFmtId="37" fontId="4" fillId="0" borderId="6" xfId="13" applyFont="1" applyBorder="1" applyAlignment="1">
      <alignment horizontal="fill"/>
    </xf>
    <xf numFmtId="37" fontId="4" fillId="0" borderId="17" xfId="13" applyFont="1" applyBorder="1"/>
    <xf numFmtId="170" fontId="5" fillId="0" borderId="7" xfId="14" applyNumberFormat="1" applyFont="1" applyBorder="1" applyProtection="1"/>
    <xf numFmtId="170" fontId="5" fillId="0" borderId="4" xfId="14" applyNumberFormat="1" applyFont="1" applyBorder="1" applyProtection="1"/>
    <xf numFmtId="2" fontId="5" fillId="0" borderId="4" xfId="14" applyNumberFormat="1" applyFont="1" applyBorder="1" applyProtection="1"/>
    <xf numFmtId="168" fontId="4" fillId="0" borderId="0" xfId="13" applyNumberFormat="1" applyFont="1"/>
    <xf numFmtId="10" fontId="4" fillId="0" borderId="12" xfId="13" applyNumberFormat="1" applyFont="1" applyBorder="1"/>
    <xf numFmtId="170" fontId="4" fillId="0" borderId="15" xfId="13" applyNumberFormat="1" applyFont="1" applyBorder="1"/>
    <xf numFmtId="37" fontId="4" fillId="0" borderId="16" xfId="13" applyFont="1" applyBorder="1"/>
    <xf numFmtId="170" fontId="4" fillId="0" borderId="1" xfId="13" applyNumberFormat="1" applyFont="1" applyBorder="1" applyAlignment="1">
      <alignment horizontal="center"/>
    </xf>
    <xf numFmtId="38" fontId="4" fillId="0" borderId="9" xfId="13" applyNumberFormat="1" applyFont="1" applyBorder="1"/>
    <xf numFmtId="37" fontId="5" fillId="0" borderId="2" xfId="13" applyFont="1" applyBorder="1"/>
    <xf numFmtId="37" fontId="5" fillId="0" borderId="4" xfId="13" applyFont="1" applyBorder="1" applyAlignment="1">
      <alignment horizontal="center"/>
    </xf>
    <xf numFmtId="37" fontId="5" fillId="0" borderId="0" xfId="13" applyFont="1" applyAlignment="1">
      <alignment horizontal="center"/>
    </xf>
    <xf numFmtId="9" fontId="5" fillId="0" borderId="0" xfId="14" applyFont="1" applyBorder="1" applyProtection="1"/>
    <xf numFmtId="164" fontId="5" fillId="0" borderId="4" xfId="13" applyNumberFormat="1" applyFont="1" applyBorder="1"/>
    <xf numFmtId="37" fontId="5" fillId="0" borderId="1" xfId="13" applyFont="1" applyBorder="1" applyAlignment="1">
      <alignment horizontal="left"/>
    </xf>
    <xf numFmtId="37" fontId="5" fillId="0" borderId="1" xfId="13" applyFont="1" applyBorder="1" applyAlignment="1">
      <alignment horizontal="left" indent="1"/>
    </xf>
    <xf numFmtId="37" fontId="4" fillId="0" borderId="14" xfId="13" applyFont="1" applyBorder="1"/>
    <xf numFmtId="37" fontId="5" fillId="0" borderId="1" xfId="13" applyFont="1" applyBorder="1" applyAlignment="1">
      <alignment horizontal="center"/>
    </xf>
    <xf numFmtId="37" fontId="4" fillId="0" borderId="1" xfId="13" applyFont="1" applyBorder="1" applyAlignment="1">
      <alignment horizontal="fill"/>
    </xf>
    <xf numFmtId="37" fontId="4" fillId="0" borderId="7" xfId="13" applyFont="1" applyBorder="1"/>
    <xf numFmtId="37" fontId="4" fillId="0" borderId="1" xfId="13" applyFont="1" applyBorder="1" applyAlignment="1">
      <alignment horizontal="left" indent="1"/>
    </xf>
    <xf numFmtId="37" fontId="5" fillId="0" borderId="1" xfId="13" applyFont="1" applyBorder="1" applyAlignment="1">
      <alignment horizontal="left" indent="2"/>
    </xf>
    <xf numFmtId="37" fontId="11" fillId="0" borderId="1" xfId="13" applyFont="1" applyBorder="1"/>
    <xf numFmtId="37" fontId="14" fillId="0" borderId="1" xfId="13" applyFont="1" applyBorder="1" applyAlignment="1">
      <alignment horizontal="left" indent="3"/>
    </xf>
    <xf numFmtId="37" fontId="5" fillId="0" borderId="12" xfId="13" applyFont="1" applyBorder="1" applyAlignment="1">
      <alignment horizontal="center"/>
    </xf>
    <xf numFmtId="37" fontId="4" fillId="0" borderId="12" xfId="13" applyFont="1" applyBorder="1" applyAlignment="1">
      <alignment horizontal="fill"/>
    </xf>
    <xf numFmtId="37" fontId="15" fillId="0" borderId="1" xfId="13" applyFont="1" applyBorder="1" applyAlignment="1">
      <alignment horizontal="left" indent="2"/>
    </xf>
    <xf numFmtId="37" fontId="15" fillId="0" borderId="0" xfId="13" applyFont="1"/>
    <xf numFmtId="37" fontId="15" fillId="0" borderId="12" xfId="13" applyFont="1" applyBorder="1"/>
    <xf numFmtId="37" fontId="5" fillId="2" borderId="0" xfId="13" applyFont="1" applyFill="1"/>
    <xf numFmtId="167" fontId="15" fillId="0" borderId="0" xfId="13" applyNumberFormat="1" applyFont="1"/>
    <xf numFmtId="37" fontId="15" fillId="0" borderId="1" xfId="13" applyFont="1" applyBorder="1" applyAlignment="1">
      <alignment horizontal="left" wrapText="1" indent="2"/>
    </xf>
    <xf numFmtId="37" fontId="4" fillId="0" borderId="15" xfId="13" applyFont="1" applyBorder="1"/>
    <xf numFmtId="39" fontId="4" fillId="2" borderId="16" xfId="13" applyNumberFormat="1" applyFont="1" applyFill="1" applyBorder="1"/>
    <xf numFmtId="39" fontId="4" fillId="2" borderId="0" xfId="13" applyNumberFormat="1" applyFont="1" applyFill="1"/>
    <xf numFmtId="37" fontId="4" fillId="2" borderId="0" xfId="13" applyFont="1" applyFill="1" applyAlignment="1">
      <alignment horizontal="right"/>
    </xf>
    <xf numFmtId="37" fontId="16" fillId="0" borderId="1" xfId="13" applyFont="1" applyBorder="1" applyAlignment="1">
      <alignment horizontal="left"/>
    </xf>
    <xf numFmtId="170" fontId="4" fillId="0" borderId="0" xfId="14" applyNumberFormat="1" applyFont="1"/>
    <xf numFmtId="37" fontId="4" fillId="2" borderId="0" xfId="13" applyFont="1" applyFill="1"/>
    <xf numFmtId="0" fontId="17" fillId="0" borderId="0" xfId="0" applyFont="1"/>
    <xf numFmtId="167" fontId="4" fillId="0" borderId="1" xfId="13" applyNumberFormat="1" applyFont="1" applyBorder="1"/>
    <xf numFmtId="170" fontId="4" fillId="0" borderId="1" xfId="13" applyNumberFormat="1" applyFont="1" applyBorder="1" applyAlignment="1">
      <alignment horizontal="right"/>
    </xf>
    <xf numFmtId="10" fontId="4" fillId="0" borderId="0" xfId="13" applyNumberFormat="1" applyFont="1"/>
    <xf numFmtId="0" fontId="18" fillId="0" borderId="0" xfId="0" applyFont="1"/>
    <xf numFmtId="37" fontId="19" fillId="0" borderId="1" xfId="13" applyFont="1" applyBorder="1"/>
    <xf numFmtId="170" fontId="4" fillId="3" borderId="24" xfId="13" applyNumberFormat="1" applyFont="1" applyFill="1" applyBorder="1"/>
    <xf numFmtId="170" fontId="4" fillId="3" borderId="25" xfId="13" applyNumberFormat="1" applyFont="1" applyFill="1" applyBorder="1"/>
    <xf numFmtId="170" fontId="4" fillId="3" borderId="23" xfId="13" applyNumberFormat="1" applyFont="1" applyFill="1" applyBorder="1"/>
    <xf numFmtId="37" fontId="14" fillId="0" borderId="0" xfId="13" applyFont="1"/>
    <xf numFmtId="37" fontId="14" fillId="0" borderId="12" xfId="13" applyFont="1" applyBorder="1"/>
    <xf numFmtId="37" fontId="4" fillId="0" borderId="21" xfId="13" applyFont="1" applyBorder="1"/>
    <xf numFmtId="37" fontId="4" fillId="2" borderId="21" xfId="13" applyFont="1" applyFill="1" applyBorder="1" applyAlignment="1">
      <alignment horizontal="right"/>
    </xf>
    <xf numFmtId="37" fontId="13" fillId="0" borderId="0" xfId="13" applyFont="1" applyAlignment="1">
      <alignment horizontal="right"/>
    </xf>
    <xf numFmtId="38" fontId="4" fillId="0" borderId="6" xfId="13" applyNumberFormat="1" applyFont="1" applyBorder="1" applyAlignment="1">
      <alignment horizontal="right"/>
    </xf>
    <xf numFmtId="38" fontId="4" fillId="0" borderId="0" xfId="13" applyNumberFormat="1" applyFont="1" applyAlignment="1">
      <alignment horizontal="right"/>
    </xf>
    <xf numFmtId="170" fontId="5" fillId="0" borderId="1" xfId="13" applyNumberFormat="1" applyFont="1" applyBorder="1" applyAlignment="1">
      <alignment horizontal="right"/>
    </xf>
    <xf numFmtId="38" fontId="5" fillId="0" borderId="0" xfId="13" applyNumberFormat="1" applyFont="1" applyAlignment="1">
      <alignment horizontal="right"/>
    </xf>
    <xf numFmtId="38" fontId="5" fillId="0" borderId="6" xfId="13" applyNumberFormat="1" applyFont="1" applyBorder="1" applyAlignment="1">
      <alignment horizontal="right"/>
    </xf>
    <xf numFmtId="170" fontId="5" fillId="0" borderId="0" xfId="13" applyNumberFormat="1" applyFont="1" applyAlignment="1">
      <alignment horizontal="right"/>
    </xf>
    <xf numFmtId="37" fontId="4" fillId="0" borderId="22" xfId="13" applyFont="1" applyBorder="1"/>
    <xf numFmtId="37" fontId="8" fillId="0" borderId="0" xfId="13" applyFont="1" applyAlignment="1">
      <alignment horizontal="center"/>
    </xf>
    <xf numFmtId="37" fontId="8" fillId="0" borderId="1" xfId="13" applyFont="1" applyBorder="1" applyAlignment="1">
      <alignment horizontal="center"/>
    </xf>
    <xf numFmtId="37" fontId="21" fillId="0" borderId="1" xfId="13" applyFont="1" applyBorder="1" applyAlignment="1">
      <alignment horizontal="center"/>
    </xf>
    <xf numFmtId="37" fontId="4" fillId="0" borderId="1" xfId="13" applyFont="1" applyBorder="1" applyAlignment="1">
      <alignment horizontal="left" wrapText="1" indent="2"/>
    </xf>
    <xf numFmtId="37" fontId="5" fillId="0" borderId="0" xfId="13" applyFont="1" applyAlignment="1">
      <alignment horizontal="left" indent="2"/>
    </xf>
    <xf numFmtId="0" fontId="4" fillId="0" borderId="0" xfId="0" applyFont="1"/>
    <xf numFmtId="37" fontId="19" fillId="0" borderId="12" xfId="13" applyFont="1" applyBorder="1"/>
    <xf numFmtId="170" fontId="5" fillId="3" borderId="23" xfId="13" applyNumberFormat="1" applyFont="1" applyFill="1" applyBorder="1"/>
    <xf numFmtId="170" fontId="4" fillId="0" borderId="7" xfId="14" applyNumberFormat="1" applyFont="1" applyFill="1" applyBorder="1" applyProtection="1"/>
    <xf numFmtId="37" fontId="22" fillId="0" borderId="1" xfId="13" applyFont="1" applyBorder="1" applyAlignment="1">
      <alignment horizontal="left"/>
    </xf>
    <xf numFmtId="37" fontId="5" fillId="0" borderId="36" xfId="13" applyFont="1" applyBorder="1"/>
    <xf numFmtId="37" fontId="5" fillId="0" borderId="35" xfId="13" applyFont="1" applyBorder="1"/>
    <xf numFmtId="0" fontId="0" fillId="0" borderId="37" xfId="0" applyBorder="1"/>
    <xf numFmtId="37" fontId="3" fillId="0" borderId="1" xfId="13" applyBorder="1"/>
    <xf numFmtId="0" fontId="0" fillId="0" borderId="1" xfId="0" applyBorder="1"/>
    <xf numFmtId="38" fontId="5" fillId="0" borderId="20" xfId="13" applyNumberFormat="1" applyFont="1" applyBorder="1"/>
    <xf numFmtId="170" fontId="5" fillId="0" borderId="37" xfId="13" applyNumberFormat="1" applyFont="1" applyBorder="1"/>
    <xf numFmtId="38" fontId="5" fillId="0" borderId="37" xfId="13" applyNumberFormat="1" applyFont="1" applyBorder="1"/>
    <xf numFmtId="170" fontId="5" fillId="0" borderId="36" xfId="13" applyNumberFormat="1" applyFont="1" applyBorder="1"/>
    <xf numFmtId="37" fontId="5" fillId="0" borderId="37" xfId="13" applyFont="1" applyBorder="1"/>
    <xf numFmtId="37" fontId="5" fillId="0" borderId="39" xfId="13" applyFont="1" applyBorder="1"/>
    <xf numFmtId="0" fontId="0" fillId="0" borderId="40" xfId="0" applyBorder="1"/>
    <xf numFmtId="37" fontId="4" fillId="0" borderId="39" xfId="13" applyFont="1" applyBorder="1"/>
    <xf numFmtId="37" fontId="5" fillId="0" borderId="38" xfId="13" applyFont="1" applyBorder="1"/>
    <xf numFmtId="37" fontId="4" fillId="0" borderId="41" xfId="13" applyFont="1" applyBorder="1"/>
    <xf numFmtId="37" fontId="4" fillId="0" borderId="38" xfId="13" applyFont="1" applyBorder="1"/>
    <xf numFmtId="37" fontId="6" fillId="0" borderId="12" xfId="13" applyFont="1" applyBorder="1"/>
    <xf numFmtId="37" fontId="9" fillId="0" borderId="1" xfId="13" applyFont="1" applyBorder="1" applyAlignment="1">
      <alignment horizontal="center"/>
    </xf>
    <xf numFmtId="37" fontId="10" fillId="0" borderId="0" xfId="13" applyFont="1"/>
    <xf numFmtId="170" fontId="23" fillId="0" borderId="1" xfId="13" applyNumberFormat="1" applyFont="1" applyBorder="1"/>
    <xf numFmtId="38" fontId="23" fillId="0" borderId="0" xfId="13" applyNumberFormat="1" applyFont="1"/>
    <xf numFmtId="38" fontId="23" fillId="0" borderId="6" xfId="13" applyNumberFormat="1" applyFont="1" applyBorder="1"/>
    <xf numFmtId="37" fontId="19" fillId="0" borderId="0" xfId="13" applyFont="1"/>
    <xf numFmtId="37" fontId="5" fillId="2" borderId="0" xfId="13" applyFont="1" applyFill="1" applyAlignment="1">
      <alignment horizontal="center" vertical="center"/>
    </xf>
    <xf numFmtId="37" fontId="5" fillId="2" borderId="19" xfId="13" applyFont="1" applyFill="1" applyBorder="1" applyAlignment="1">
      <alignment horizontal="center" vertical="center"/>
    </xf>
    <xf numFmtId="37" fontId="13" fillId="0" borderId="0" xfId="13" applyFont="1" applyAlignment="1">
      <alignment horizontal="center"/>
    </xf>
    <xf numFmtId="37" fontId="13" fillId="0" borderId="19" xfId="13" applyFont="1" applyBorder="1" applyAlignment="1">
      <alignment horizontal="center"/>
    </xf>
    <xf numFmtId="170" fontId="5" fillId="0" borderId="18" xfId="13" applyNumberFormat="1" applyFont="1" applyBorder="1" applyAlignment="1">
      <alignment horizontal="center"/>
    </xf>
    <xf numFmtId="37" fontId="5" fillId="0" borderId="1" xfId="13" applyFont="1" applyBorder="1" applyAlignment="1">
      <alignment horizontal="center"/>
    </xf>
    <xf numFmtId="164" fontId="4" fillId="0" borderId="1" xfId="13" applyNumberFormat="1" applyFont="1" applyBorder="1" applyAlignment="1">
      <alignment horizontal="center"/>
    </xf>
    <xf numFmtId="44" fontId="4" fillId="3" borderId="29" xfId="431" applyFont="1" applyFill="1" applyBorder="1" applyAlignment="1">
      <alignment horizontal="center"/>
    </xf>
    <xf numFmtId="170" fontId="5" fillId="3" borderId="28" xfId="13" applyNumberFormat="1" applyFont="1" applyFill="1" applyBorder="1" applyAlignment="1">
      <alignment horizontal="center"/>
    </xf>
    <xf numFmtId="44" fontId="5" fillId="3" borderId="33" xfId="431" applyFont="1" applyFill="1" applyBorder="1" applyAlignment="1">
      <alignment horizontal="center"/>
    </xf>
    <xf numFmtId="44" fontId="5" fillId="3" borderId="34" xfId="431" applyFont="1" applyFill="1" applyBorder="1" applyAlignment="1">
      <alignment horizontal="center"/>
    </xf>
    <xf numFmtId="44" fontId="4" fillId="3" borderId="31" xfId="431" applyFont="1" applyFill="1" applyBorder="1" applyAlignment="1">
      <alignment horizontal="center"/>
    </xf>
    <xf numFmtId="44" fontId="4" fillId="3" borderId="6" xfId="431" applyFont="1" applyFill="1" applyBorder="1" applyAlignment="1">
      <alignment horizontal="center"/>
    </xf>
    <xf numFmtId="44" fontId="4" fillId="3" borderId="32" xfId="431" applyFont="1" applyFill="1" applyBorder="1" applyAlignment="1">
      <alignment horizontal="center"/>
    </xf>
    <xf numFmtId="44" fontId="4" fillId="3" borderId="20" xfId="431" applyFont="1" applyFill="1" applyBorder="1" applyAlignment="1">
      <alignment horizontal="center"/>
    </xf>
    <xf numFmtId="37" fontId="5" fillId="0" borderId="0" xfId="13" applyFont="1" applyAlignment="1">
      <alignment horizontal="center"/>
    </xf>
    <xf numFmtId="44" fontId="4" fillId="3" borderId="30" xfId="431" applyFont="1" applyFill="1" applyBorder="1" applyAlignment="1">
      <alignment horizontal="center"/>
    </xf>
    <xf numFmtId="164" fontId="4" fillId="0" borderId="0" xfId="13" applyNumberFormat="1" applyFont="1" applyAlignment="1">
      <alignment horizontal="center"/>
    </xf>
    <xf numFmtId="164" fontId="4" fillId="0" borderId="6" xfId="13" applyNumberFormat="1" applyFont="1" applyBorder="1" applyAlignment="1">
      <alignment horizontal="center"/>
    </xf>
    <xf numFmtId="170" fontId="5" fillId="3" borderId="26" xfId="13" applyNumberFormat="1" applyFont="1" applyFill="1" applyBorder="1" applyAlignment="1">
      <alignment horizontal="center"/>
    </xf>
    <xf numFmtId="170" fontId="5" fillId="3" borderId="27" xfId="13" applyNumberFormat="1" applyFont="1" applyFill="1" applyBorder="1" applyAlignment="1">
      <alignment horizontal="center"/>
    </xf>
    <xf numFmtId="44" fontId="4" fillId="3" borderId="33" xfId="431" applyFont="1" applyFill="1" applyBorder="1" applyAlignment="1">
      <alignment horizontal="center"/>
    </xf>
    <xf numFmtId="44" fontId="4" fillId="3" borderId="34" xfId="431" applyFont="1" applyFill="1" applyBorder="1" applyAlignment="1">
      <alignment horizontal="center"/>
    </xf>
  </cellXfs>
  <cellStyles count="432">
    <cellStyle name="Currency" xfId="43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Normal" xfId="0" builtinId="0"/>
    <cellStyle name="Normal 2" xfId="13" xr:uid="{00000000-0005-0000-0000-0000AD010000}"/>
    <cellStyle name="Percent 2" xfId="14" xr:uid="{00000000-0005-0000-0000-0000AE01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1</xdr:row>
      <xdr:rowOff>161925</xdr:rowOff>
    </xdr:from>
    <xdr:to>
      <xdr:col>4</xdr:col>
      <xdr:colOff>693701</xdr:colOff>
      <xdr:row>5</xdr:row>
      <xdr:rowOff>41910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89928D-2E35-4A60-A702-D0E6F52D2C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334" y="361950"/>
          <a:ext cx="2309142" cy="680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91608B-93EE-4D7B-A058-7A8FC341BD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2" y="449035"/>
          <a:ext cx="2285329" cy="6896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184355</xdr:colOff>
      <xdr:row>2</xdr:row>
      <xdr:rowOff>46087</xdr:rowOff>
    </xdr:from>
    <xdr:to>
      <xdr:col>2</xdr:col>
      <xdr:colOff>2469684</xdr:colOff>
      <xdr:row>5</xdr:row>
      <xdr:rowOff>182633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94B437-E0A1-4085-B38E-69C0096F63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30160"/>
          <a:ext cx="2285329" cy="68961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6362DC-7C55-4006-A2AD-C69D99FBD0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752" y="443048"/>
          <a:ext cx="2285329" cy="689610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2</xdr:row>
      <xdr:rowOff>54428</xdr:rowOff>
    </xdr:from>
    <xdr:to>
      <xdr:col>2</xdr:col>
      <xdr:colOff>2421401</xdr:colOff>
      <xdr:row>5</xdr:row>
      <xdr:rowOff>172538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B205B6-9ECB-481D-A1D2-0985B263C7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2752" y="443048"/>
          <a:ext cx="2285329" cy="6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</sheetPr>
  <dimension ref="A1:IV52"/>
  <sheetViews>
    <sheetView zoomScale="70" zoomScaleNormal="70" zoomScalePageLayoutView="80" workbookViewId="0"/>
  </sheetViews>
  <sheetFormatPr defaultColWidth="8.77734375" defaultRowHeight="15.6" x14ac:dyDescent="0.3"/>
  <cols>
    <col min="1" max="1" width="71" style="5" customWidth="1"/>
    <col min="2" max="2" width="1.77734375" customWidth="1"/>
    <col min="3" max="7" width="11.77734375" style="5" customWidth="1"/>
    <col min="8" max="8" width="1.77734375" customWidth="1"/>
    <col min="9" max="12" width="10.77734375" style="5" customWidth="1"/>
    <col min="13" max="13" width="13.44140625" style="5" customWidth="1"/>
  </cols>
  <sheetData>
    <row r="1" spans="1:13" x14ac:dyDescent="0.3">
      <c r="A1" s="3"/>
      <c r="B1" s="1"/>
      <c r="C1" s="1"/>
      <c r="D1" s="1"/>
      <c r="E1" s="1"/>
      <c r="F1" s="1"/>
      <c r="G1" s="1"/>
      <c r="I1" s="1"/>
      <c r="J1" s="1"/>
      <c r="K1" s="1"/>
      <c r="L1" s="1"/>
      <c r="M1" s="1"/>
    </row>
    <row r="2" spans="1:13" x14ac:dyDescent="0.3">
      <c r="A2" s="3"/>
      <c r="B2" s="1"/>
      <c r="C2" s="1"/>
      <c r="D2" s="1"/>
      <c r="E2" s="1"/>
      <c r="F2" s="1"/>
      <c r="G2" s="1"/>
      <c r="I2" s="1"/>
      <c r="J2" s="1"/>
      <c r="K2" s="1"/>
      <c r="L2" s="1"/>
      <c r="M2" s="6">
        <f ca="1">NOW()</f>
        <v>45811.527532523149</v>
      </c>
    </row>
    <row r="3" spans="1:13" x14ac:dyDescent="0.3">
      <c r="A3" s="104" t="s">
        <v>32</v>
      </c>
      <c r="B3" s="1"/>
      <c r="C3" s="1"/>
      <c r="D3" s="3"/>
      <c r="E3" s="3"/>
      <c r="F3" s="3"/>
      <c r="G3" s="3"/>
      <c r="I3" s="3"/>
      <c r="J3" s="3"/>
      <c r="K3" s="3"/>
      <c r="L3" s="3"/>
      <c r="M3" s="3"/>
    </row>
    <row r="4" spans="1:13" x14ac:dyDescent="0.3">
      <c r="A4" s="104" t="s">
        <v>26</v>
      </c>
      <c r="B4" s="1"/>
      <c r="C4" s="1"/>
      <c r="D4" s="1"/>
      <c r="E4" s="1"/>
      <c r="F4" s="1"/>
      <c r="G4" s="1"/>
      <c r="I4" s="1"/>
      <c r="J4" s="1"/>
      <c r="K4" s="1"/>
      <c r="L4" s="1"/>
      <c r="M4" s="1"/>
    </row>
    <row r="5" spans="1:13" x14ac:dyDescent="0.3">
      <c r="A5" s="104" t="s">
        <v>98</v>
      </c>
      <c r="B5" s="1"/>
      <c r="C5" s="2"/>
      <c r="D5" s="1"/>
      <c r="E5" s="1"/>
      <c r="F5" s="1"/>
      <c r="G5" s="1"/>
      <c r="I5" s="1"/>
      <c r="J5" s="1"/>
      <c r="K5" s="1"/>
      <c r="L5" s="1"/>
      <c r="M5" s="1"/>
    </row>
    <row r="6" spans="1:13" x14ac:dyDescent="0.3">
      <c r="A6" s="3"/>
      <c r="B6" s="1"/>
      <c r="C6" s="1"/>
      <c r="D6" s="3"/>
      <c r="E6" s="3"/>
      <c r="F6" s="3"/>
      <c r="G6" s="3"/>
      <c r="I6" s="3"/>
      <c r="J6" s="3"/>
      <c r="K6" s="3"/>
      <c r="L6" s="3"/>
      <c r="M6" s="3"/>
    </row>
    <row r="7" spans="1:13" ht="15.75" customHeight="1" x14ac:dyDescent="0.3">
      <c r="A7" s="170"/>
      <c r="C7" s="168" t="s">
        <v>183</v>
      </c>
      <c r="D7" s="168"/>
      <c r="E7" s="168"/>
      <c r="F7" s="168"/>
      <c r="G7" s="168"/>
      <c r="H7" s="118"/>
      <c r="I7" s="168" t="s">
        <v>184</v>
      </c>
      <c r="J7" s="168"/>
      <c r="K7" s="168"/>
      <c r="L7" s="168"/>
      <c r="M7" s="168"/>
    </row>
    <row r="8" spans="1:13" ht="15.75" customHeight="1" x14ac:dyDescent="0.3">
      <c r="A8" s="171"/>
      <c r="C8" s="169"/>
      <c r="D8" s="169"/>
      <c r="E8" s="169"/>
      <c r="F8" s="169"/>
      <c r="G8" s="169"/>
      <c r="H8" s="118"/>
      <c r="I8" s="169"/>
      <c r="J8" s="169"/>
      <c r="K8" s="169"/>
      <c r="L8" s="169"/>
      <c r="M8" s="169"/>
    </row>
    <row r="9" spans="1:13" x14ac:dyDescent="0.3">
      <c r="A9" s="91"/>
      <c r="C9" s="91"/>
      <c r="D9" s="91"/>
      <c r="E9" s="91"/>
      <c r="F9" s="91"/>
      <c r="G9" s="62"/>
      <c r="I9" s="91"/>
      <c r="J9" s="91"/>
      <c r="K9" s="91"/>
      <c r="L9" s="91"/>
      <c r="M9" s="62"/>
    </row>
    <row r="10" spans="1:13" x14ac:dyDescent="0.3">
      <c r="A10" s="89" t="s">
        <v>25</v>
      </c>
      <c r="C10" s="92" t="s">
        <v>42</v>
      </c>
      <c r="D10" s="92" t="s">
        <v>57</v>
      </c>
      <c r="E10" s="92" t="s">
        <v>58</v>
      </c>
      <c r="F10" s="92" t="s">
        <v>59</v>
      </c>
      <c r="G10" s="99" t="s">
        <v>60</v>
      </c>
      <c r="I10" s="92" t="s">
        <v>42</v>
      </c>
      <c r="J10" s="92" t="s">
        <v>57</v>
      </c>
      <c r="K10" s="92" t="s">
        <v>58</v>
      </c>
      <c r="L10" s="92" t="s">
        <v>59</v>
      </c>
      <c r="M10" s="99" t="s">
        <v>60</v>
      </c>
    </row>
    <row r="11" spans="1:13" ht="16.2" thickBot="1" x14ac:dyDescent="0.35">
      <c r="A11" s="94" t="s">
        <v>5</v>
      </c>
      <c r="C11" s="94"/>
      <c r="D11" s="94"/>
      <c r="E11" s="94"/>
      <c r="F11" s="94"/>
      <c r="G11" s="64"/>
      <c r="I11" s="94"/>
      <c r="J11" s="94"/>
      <c r="K11" s="94"/>
      <c r="L11" s="94"/>
      <c r="M11" s="64"/>
    </row>
    <row r="12" spans="1:13" ht="16.2" thickTop="1" x14ac:dyDescent="0.3">
      <c r="A12" s="93"/>
      <c r="C12" s="93"/>
      <c r="D12" s="93"/>
      <c r="E12" s="93"/>
      <c r="F12" s="93"/>
      <c r="G12" s="100"/>
      <c r="I12" s="93"/>
      <c r="J12" s="93"/>
      <c r="K12" s="93"/>
      <c r="L12" s="93"/>
      <c r="M12" s="100"/>
    </row>
    <row r="13" spans="1:13" x14ac:dyDescent="0.3">
      <c r="A13" s="30" t="s">
        <v>55</v>
      </c>
      <c r="C13" s="30"/>
      <c r="D13" s="30"/>
      <c r="E13" s="30"/>
      <c r="F13" s="30"/>
      <c r="G13" s="65"/>
      <c r="I13" s="30"/>
      <c r="J13" s="30"/>
      <c r="K13" s="30"/>
      <c r="L13" s="30"/>
      <c r="M13" s="65"/>
    </row>
    <row r="14" spans="1:13" x14ac:dyDescent="0.3">
      <c r="A14" s="30" t="s">
        <v>76</v>
      </c>
      <c r="C14" s="48">
        <f>'DM Budget - 2 Sites'!G30</f>
        <v>0</v>
      </c>
      <c r="D14" s="48">
        <f>'DM Budget - 2 Sites'!J30</f>
        <v>20500</v>
      </c>
      <c r="E14" s="48">
        <f>'DM Budget - 2 Sites'!M30</f>
        <v>21115</v>
      </c>
      <c r="F14" s="48">
        <f>'DM Budget - 2 Sites'!P30</f>
        <v>21748</v>
      </c>
      <c r="G14" s="65">
        <f>'DM Budget - 2 Sites'!R30</f>
        <v>63363</v>
      </c>
      <c r="I14" s="48">
        <f>'DM Budget - 3 Sites'!G30</f>
        <v>0</v>
      </c>
      <c r="J14" s="48">
        <f>'DM Budget - 3 Sites'!J30</f>
        <v>20500</v>
      </c>
      <c r="K14" s="48">
        <f>'DM Budget - 3 Sites'!M30</f>
        <v>21115</v>
      </c>
      <c r="L14" s="48">
        <f>'DM Budget - 3 Sites'!P30</f>
        <v>21748</v>
      </c>
      <c r="M14" s="65">
        <f>'DM Budget - 3 Sites'!R30</f>
        <v>63363</v>
      </c>
    </row>
    <row r="15" spans="1:13" x14ac:dyDescent="0.3">
      <c r="A15" s="155" t="s">
        <v>54</v>
      </c>
      <c r="C15" s="160">
        <f>'DM Budget - 2 Sites'!G45</f>
        <v>0</v>
      </c>
      <c r="D15" s="157">
        <f>'DM Budget - 2 Sites'!J45</f>
        <v>25960</v>
      </c>
      <c r="E15" s="157">
        <f>'DM Budget - 2 Sites'!M45</f>
        <v>26740</v>
      </c>
      <c r="F15" s="157">
        <f>'DM Budget - 2 Sites'!P45</f>
        <v>27541</v>
      </c>
      <c r="G15" s="158">
        <f>'DM Budget - 2 Sites'!R45</f>
        <v>80241</v>
      </c>
      <c r="H15" s="156"/>
      <c r="I15" s="157">
        <f>'DM Budget - 3 Sites'!G45</f>
        <v>0</v>
      </c>
      <c r="J15" s="157">
        <f>'DM Budget - 3 Sites'!J45</f>
        <v>30760</v>
      </c>
      <c r="K15" s="157">
        <f>'DM Budget - 3 Sites'!M45</f>
        <v>31684</v>
      </c>
      <c r="L15" s="157">
        <f>'DM Budget - 3 Sites'!P45</f>
        <v>32633</v>
      </c>
      <c r="M15" s="158">
        <f>'DM Budget - 3 Sites'!R45</f>
        <v>95077</v>
      </c>
    </row>
    <row r="16" spans="1:13" ht="16.2" thickBot="1" x14ac:dyDescent="0.35">
      <c r="A16" s="34" t="s">
        <v>10</v>
      </c>
      <c r="C16" s="34">
        <f>C15+C14</f>
        <v>0</v>
      </c>
      <c r="D16" s="34">
        <f>D15+D14</f>
        <v>46460</v>
      </c>
      <c r="E16" s="34">
        <f>E15+E14</f>
        <v>47855</v>
      </c>
      <c r="F16" s="34">
        <f>F15+F14</f>
        <v>49289</v>
      </c>
      <c r="G16" s="66">
        <f>G15+G14</f>
        <v>143604</v>
      </c>
      <c r="I16" s="34">
        <f>'DM Budget - 3 Sites'!G47</f>
        <v>0</v>
      </c>
      <c r="J16" s="34">
        <f>'DM Budget - 3 Sites'!J47</f>
        <v>51260</v>
      </c>
      <c r="K16" s="34">
        <f>'DM Budget - 3 Sites'!M47</f>
        <v>52799</v>
      </c>
      <c r="L16" s="34">
        <f>'DM Budget - 3 Sites'!P47</f>
        <v>54381</v>
      </c>
      <c r="M16" s="66">
        <f>'DM Budget - 3 Sites'!R47</f>
        <v>158440</v>
      </c>
    </row>
    <row r="17" spans="1:13" ht="16.2" thickTop="1" x14ac:dyDescent="0.3">
      <c r="A17" s="48"/>
      <c r="C17" s="159"/>
      <c r="D17" s="48"/>
      <c r="E17" s="48"/>
      <c r="F17" s="48"/>
      <c r="G17" s="63"/>
      <c r="I17" s="48"/>
      <c r="J17" s="48"/>
      <c r="K17" s="48"/>
      <c r="L17" s="48"/>
      <c r="M17" s="63"/>
    </row>
    <row r="18" spans="1:13" x14ac:dyDescent="0.3">
      <c r="A18" s="155" t="s">
        <v>11</v>
      </c>
      <c r="C18" s="155"/>
      <c r="D18" s="155"/>
      <c r="E18" s="155"/>
      <c r="F18" s="155"/>
      <c r="G18" s="158"/>
      <c r="H18" s="156"/>
      <c r="I18" s="155"/>
      <c r="J18" s="155"/>
      <c r="K18" s="155"/>
      <c r="L18" s="155"/>
      <c r="M18" s="158"/>
    </row>
    <row r="19" spans="1:13" ht="16.2" thickBot="1" x14ac:dyDescent="0.35">
      <c r="A19" s="34" t="s">
        <v>12</v>
      </c>
      <c r="C19" s="34">
        <f>'DM Budget - 2 Sites'!G52</f>
        <v>0</v>
      </c>
      <c r="D19" s="34">
        <f>'DM Budget - 2 Sites'!J52</f>
        <v>7175</v>
      </c>
      <c r="E19" s="34">
        <f>'DM Budget - 2 Sites'!M52</f>
        <v>7390</v>
      </c>
      <c r="F19" s="34">
        <f>'DM Budget - 2 Sites'!P52</f>
        <v>7612</v>
      </c>
      <c r="G19" s="66">
        <f>'DM Budget - 2 Sites'!R52</f>
        <v>22177</v>
      </c>
      <c r="I19" s="34">
        <f>'DM Budget - 3 Sites'!G52</f>
        <v>0</v>
      </c>
      <c r="J19" s="34">
        <f>'DM Budget - 3 Sites'!J52</f>
        <v>7175</v>
      </c>
      <c r="K19" s="34">
        <f>'DM Budget - 3 Sites'!M52</f>
        <v>7390</v>
      </c>
      <c r="L19" s="34">
        <f>'DM Budget - 3 Sites'!P52</f>
        <v>7612</v>
      </c>
      <c r="M19" s="66">
        <f>'DM Budget - 3 Sites'!R52</f>
        <v>22177</v>
      </c>
    </row>
    <row r="20" spans="1:13" ht="16.2" thickTop="1" x14ac:dyDescent="0.3">
      <c r="A20" s="48"/>
      <c r="C20" s="48"/>
      <c r="D20" s="48"/>
      <c r="E20" s="48"/>
      <c r="F20" s="48"/>
      <c r="G20" s="63"/>
      <c r="I20" s="48"/>
      <c r="J20" s="48"/>
      <c r="K20" s="48"/>
      <c r="L20" s="48"/>
      <c r="M20" s="63"/>
    </row>
    <row r="21" spans="1:13" ht="15" customHeight="1" x14ac:dyDescent="0.3">
      <c r="A21" s="30" t="s">
        <v>13</v>
      </c>
      <c r="C21" s="30"/>
      <c r="D21" s="30"/>
      <c r="E21" s="30"/>
      <c r="F21" s="30"/>
      <c r="G21" s="65"/>
      <c r="I21" s="30"/>
      <c r="J21" s="30"/>
      <c r="K21" s="30"/>
      <c r="L21" s="30"/>
      <c r="M21" s="65"/>
    </row>
    <row r="22" spans="1:13" x14ac:dyDescent="0.3">
      <c r="A22" s="30" t="s">
        <v>14</v>
      </c>
      <c r="C22" s="48">
        <f>'DM Budget - 2 Sites'!G66</f>
        <v>0</v>
      </c>
      <c r="D22" s="48">
        <f>'DM Budget - 2 Sites'!J66</f>
        <v>0</v>
      </c>
      <c r="E22" s="48">
        <f>'DM Budget - 2 Sites'!M66</f>
        <v>0</v>
      </c>
      <c r="F22" s="48">
        <f>'DM Budget - 2 Sites'!P66</f>
        <v>3660</v>
      </c>
      <c r="G22" s="65">
        <f>SUM(C22:F22)</f>
        <v>3660</v>
      </c>
      <c r="I22" s="48">
        <f>'DM Budget - 3 Sites'!G66</f>
        <v>0</v>
      </c>
      <c r="J22" s="48">
        <f>'DM Budget - 3 Sites'!J66</f>
        <v>0</v>
      </c>
      <c r="K22" s="48">
        <f>'DM Budget - 3 Sites'!M66</f>
        <v>0</v>
      </c>
      <c r="L22" s="48">
        <f>'DM Budget - 3 Sites'!P66</f>
        <v>3660</v>
      </c>
      <c r="M22" s="65">
        <f>SUM(I22:L22)</f>
        <v>3660</v>
      </c>
    </row>
    <row r="23" spans="1:13" x14ac:dyDescent="0.3">
      <c r="A23" s="155" t="s">
        <v>16</v>
      </c>
      <c r="C23" s="157">
        <f>'DM Budget - 2 Sites'!G76</f>
        <v>0</v>
      </c>
      <c r="D23" s="157">
        <f>'DM Budget - 2 Sites'!J76</f>
        <v>0</v>
      </c>
      <c r="E23" s="157">
        <f>'DM Budget - 2 Sites'!M76</f>
        <v>0</v>
      </c>
      <c r="F23" s="157">
        <f>'DM Budget - 2 Sites'!P76</f>
        <v>212</v>
      </c>
      <c r="G23" s="158">
        <f>SUM(C23:F23)</f>
        <v>212</v>
      </c>
      <c r="H23" s="156"/>
      <c r="I23" s="157">
        <f>'DM Budget - 3 Sites'!G76</f>
        <v>0</v>
      </c>
      <c r="J23" s="157">
        <f>'DM Budget - 3 Sites'!J76</f>
        <v>0</v>
      </c>
      <c r="K23" s="157">
        <f>'DM Budget - 3 Sites'!M76</f>
        <v>0</v>
      </c>
      <c r="L23" s="157">
        <f>'DM Budget - 3 Sites'!P76</f>
        <v>212</v>
      </c>
      <c r="M23" s="158">
        <f>SUM(I23:L23)</f>
        <v>212</v>
      </c>
    </row>
    <row r="24" spans="1:13" ht="16.2" thickBot="1" x14ac:dyDescent="0.35">
      <c r="A24" s="34" t="s">
        <v>47</v>
      </c>
      <c r="C24" s="34">
        <f>SUM(C22:C23)</f>
        <v>0</v>
      </c>
      <c r="D24" s="34">
        <f>SUM(D22:D23)</f>
        <v>0</v>
      </c>
      <c r="E24" s="34">
        <f>SUM(E22:E23)</f>
        <v>0</v>
      </c>
      <c r="F24" s="34">
        <f>SUM(F22:F23)</f>
        <v>3872</v>
      </c>
      <c r="G24" s="66">
        <f>SUM(G22:G23)</f>
        <v>3872</v>
      </c>
      <c r="I24" s="34">
        <f>SUM(I22:I23)</f>
        <v>0</v>
      </c>
      <c r="J24" s="34">
        <f>SUM(J22:J23)</f>
        <v>0</v>
      </c>
      <c r="K24" s="34">
        <f>SUM(K22:K23)</f>
        <v>0</v>
      </c>
      <c r="L24" s="34">
        <f>SUM(L22:L23)</f>
        <v>3872</v>
      </c>
      <c r="M24" s="66">
        <f>SUM(M22:M23)</f>
        <v>3872</v>
      </c>
    </row>
    <row r="25" spans="1:13" ht="16.2" thickTop="1" x14ac:dyDescent="0.3">
      <c r="A25" s="30"/>
      <c r="C25" s="30"/>
      <c r="D25" s="30"/>
      <c r="E25" s="30"/>
      <c r="F25" s="30"/>
      <c r="G25" s="65"/>
      <c r="I25" s="30"/>
      <c r="J25" s="30"/>
      <c r="K25" s="30"/>
      <c r="L25" s="30"/>
      <c r="M25" s="65"/>
    </row>
    <row r="26" spans="1:13" x14ac:dyDescent="0.3">
      <c r="A26" s="155" t="s">
        <v>17</v>
      </c>
      <c r="C26" s="155"/>
      <c r="D26" s="155"/>
      <c r="E26" s="155"/>
      <c r="F26" s="155"/>
      <c r="G26" s="158"/>
      <c r="H26" s="156"/>
      <c r="I26" s="155"/>
      <c r="J26" s="155"/>
      <c r="K26" s="155"/>
      <c r="L26" s="155"/>
      <c r="M26" s="158"/>
    </row>
    <row r="27" spans="1:13" ht="16.2" thickBot="1" x14ac:dyDescent="0.35">
      <c r="A27" s="34" t="s">
        <v>48</v>
      </c>
      <c r="C27" s="34">
        <f>'DM Budget - 2 Sites'!G84</f>
        <v>0</v>
      </c>
      <c r="D27" s="34">
        <f>'DM Budget - 2 Sites'!J84</f>
        <v>2400</v>
      </c>
      <c r="E27" s="34">
        <f>'DM Budget - 2 Sites'!M84</f>
        <v>0</v>
      </c>
      <c r="F27" s="34">
        <f>'DM Budget - 2 Sites'!P84</f>
        <v>0</v>
      </c>
      <c r="G27" s="66">
        <f>SUM(C27:F27)</f>
        <v>2400</v>
      </c>
      <c r="I27" s="34">
        <f>'DM Budget - 3 Sites'!G84</f>
        <v>0</v>
      </c>
      <c r="J27" s="34">
        <f>'DM Budget - 3 Sites'!J84</f>
        <v>3200</v>
      </c>
      <c r="K27" s="34">
        <f>'DM Budget - 3 Sites'!M84</f>
        <v>0</v>
      </c>
      <c r="L27" s="34">
        <f>'DM Budget - 3 Sites'!P84</f>
        <v>0</v>
      </c>
      <c r="M27" s="66">
        <f>SUM(I27:L27)</f>
        <v>3200</v>
      </c>
    </row>
    <row r="28" spans="1:13" ht="16.2" thickTop="1" x14ac:dyDescent="0.3">
      <c r="A28" s="48"/>
      <c r="C28" s="48"/>
      <c r="D28" s="48"/>
      <c r="E28" s="48"/>
      <c r="F28" s="48"/>
      <c r="G28" s="63"/>
      <c r="I28" s="48"/>
      <c r="J28" s="48"/>
      <c r="K28" s="48"/>
      <c r="L28" s="48"/>
      <c r="M28" s="63"/>
    </row>
    <row r="29" spans="1:13" x14ac:dyDescent="0.3">
      <c r="A29" s="155" t="s">
        <v>18</v>
      </c>
      <c r="C29" s="155"/>
      <c r="D29" s="155"/>
      <c r="E29" s="155"/>
      <c r="F29" s="155"/>
      <c r="G29" s="158"/>
      <c r="H29" s="156"/>
      <c r="I29" s="155"/>
      <c r="J29" s="155"/>
      <c r="K29" s="155"/>
      <c r="L29" s="155"/>
      <c r="M29" s="158"/>
    </row>
    <row r="30" spans="1:13" ht="16.2" thickBot="1" x14ac:dyDescent="0.35">
      <c r="A30" s="34" t="s">
        <v>49</v>
      </c>
      <c r="C30" s="34">
        <f>'DM Budget - 2 Sites'!G89</f>
        <v>0</v>
      </c>
      <c r="D30" s="34">
        <f>'DM Budget - 2 Sites'!J89</f>
        <v>300</v>
      </c>
      <c r="E30" s="34">
        <f>'DM Budget - 2 Sites'!M89</f>
        <v>309</v>
      </c>
      <c r="F30" s="34">
        <f>'DM Budget - 2 Sites'!P89</f>
        <v>318</v>
      </c>
      <c r="G30" s="66">
        <f>'DM Budget - 2 Sites'!R89</f>
        <v>927</v>
      </c>
      <c r="I30" s="34">
        <f>'DM Budget - 3 Sites'!G89</f>
        <v>0</v>
      </c>
      <c r="J30" s="34">
        <f>'DM Budget - 3 Sites'!J89</f>
        <v>360</v>
      </c>
      <c r="K30" s="34">
        <f>'DM Budget - 3 Sites'!M89</f>
        <v>309</v>
      </c>
      <c r="L30" s="34">
        <f>'DM Budget - 3 Sites'!P89</f>
        <v>318</v>
      </c>
      <c r="M30" s="66">
        <f>'DM Budget - 3 Sites'!R89</f>
        <v>987</v>
      </c>
    </row>
    <row r="31" spans="1:13" ht="16.2" thickTop="1" x14ac:dyDescent="0.3">
      <c r="A31" s="30"/>
      <c r="C31" s="30"/>
      <c r="D31" s="30"/>
      <c r="E31" s="30"/>
      <c r="F31" s="30"/>
      <c r="G31" s="65"/>
      <c r="I31" s="30"/>
      <c r="J31" s="30"/>
      <c r="K31" s="30"/>
      <c r="L31" s="30"/>
      <c r="M31" s="65"/>
    </row>
    <row r="32" spans="1:13" x14ac:dyDescent="0.3">
      <c r="A32" s="30" t="s">
        <v>19</v>
      </c>
      <c r="C32" s="30"/>
      <c r="D32" s="30"/>
      <c r="E32" s="30"/>
      <c r="F32" s="30"/>
      <c r="G32" s="65"/>
      <c r="I32" s="30"/>
      <c r="J32" s="30"/>
      <c r="K32" s="30"/>
      <c r="L32" s="30"/>
      <c r="M32" s="65"/>
    </row>
    <row r="33" spans="1:256" x14ac:dyDescent="0.3">
      <c r="A33" s="30" t="s">
        <v>162</v>
      </c>
      <c r="C33" s="48">
        <f>'DM Budget - 2 Sites'!G103</f>
        <v>0</v>
      </c>
      <c r="D33" s="48">
        <f>'DM Budget - 2 Sites'!J103</f>
        <v>900</v>
      </c>
      <c r="E33" s="48">
        <f>'DM Budget - 2 Sites'!M103</f>
        <v>927</v>
      </c>
      <c r="F33" s="48">
        <f>'DM Budget - 2 Sites'!P103</f>
        <v>6789</v>
      </c>
      <c r="G33" s="65">
        <f>'DM Budget - 2 Sites'!R103</f>
        <v>8616</v>
      </c>
      <c r="I33" s="48">
        <f>'DM Budget - 3 Sites'!G103</f>
        <v>0</v>
      </c>
      <c r="J33" s="48">
        <f>'DM Budget - 3 Sites'!J103</f>
        <v>2900</v>
      </c>
      <c r="K33" s="48">
        <f>'DM Budget - 3 Sites'!M103</f>
        <v>2987</v>
      </c>
      <c r="L33" s="48">
        <f>'DM Budget - 3 Sites'!P103</f>
        <v>8911</v>
      </c>
      <c r="M33" s="65">
        <f>'DM Budget - 3 Sites'!R103</f>
        <v>14798</v>
      </c>
    </row>
    <row r="34" spans="1:256" x14ac:dyDescent="0.3">
      <c r="A34" s="30" t="s">
        <v>163</v>
      </c>
      <c r="C34" s="48">
        <f>'DM Budget - 2 Sites'!G114</f>
        <v>0</v>
      </c>
      <c r="D34" s="48">
        <f>'DM Budget - 2 Sites'!J114</f>
        <v>1400</v>
      </c>
      <c r="E34" s="48">
        <f>'DM Budget - 2 Sites'!M114</f>
        <v>1442</v>
      </c>
      <c r="F34" s="48">
        <f>'DM Budget - 2 Sites'!P114</f>
        <v>1484</v>
      </c>
      <c r="G34" s="65">
        <f>'DM Budget - 2 Sites'!R114</f>
        <v>4326</v>
      </c>
      <c r="I34" s="48">
        <f>'DM Budget - 3 Sites'!G114</f>
        <v>0</v>
      </c>
      <c r="J34" s="48">
        <f>'DM Budget - 3 Sites'!J114</f>
        <v>1750</v>
      </c>
      <c r="K34" s="48">
        <f>'DM Budget - 3 Sites'!M114</f>
        <v>1803</v>
      </c>
      <c r="L34" s="48">
        <f>'DM Budget - 3 Sites'!P114</f>
        <v>1857</v>
      </c>
      <c r="M34" s="65">
        <f>'DM Budget - 3 Sites'!R114</f>
        <v>5410</v>
      </c>
    </row>
    <row r="35" spans="1:256" x14ac:dyDescent="0.3">
      <c r="A35" s="30" t="s">
        <v>164</v>
      </c>
      <c r="C35" s="48">
        <f>'DM Budget - 2 Sites'!G125</f>
        <v>0</v>
      </c>
      <c r="D35" s="48">
        <f>'DM Budget - 2 Sites'!J125</f>
        <v>22780</v>
      </c>
      <c r="E35" s="48">
        <f>'DM Budget - 2 Sites'!M125</f>
        <v>10568</v>
      </c>
      <c r="F35" s="48">
        <f>'DM Budget - 2 Sites'!P125</f>
        <v>10885</v>
      </c>
      <c r="G35" s="65">
        <f>'DM Budget - 2 Sites'!R125</f>
        <v>44233</v>
      </c>
      <c r="I35" s="48">
        <f>'DM Budget - 3 Sites'!G125</f>
        <v>0</v>
      </c>
      <c r="J35" s="48">
        <f>'DM Budget - 3 Sites'!J125</f>
        <v>33030</v>
      </c>
      <c r="K35" s="48">
        <f>'DM Budget - 3 Sites'!M125</f>
        <v>14554</v>
      </c>
      <c r="L35" s="48">
        <f>'DM Budget - 3 Sites'!P125</f>
        <v>14990</v>
      </c>
      <c r="M35" s="65">
        <f>'DM Budget - 3 Sites'!R125</f>
        <v>62574</v>
      </c>
    </row>
    <row r="36" spans="1:256" x14ac:dyDescent="0.3">
      <c r="A36" s="155" t="s">
        <v>165</v>
      </c>
      <c r="C36" s="157">
        <f>'DM Budget - 2 Sites'!G155</f>
        <v>33600</v>
      </c>
      <c r="D36" s="157">
        <f>'DM Budget - 2 Sites'!J155</f>
        <v>30600</v>
      </c>
      <c r="E36" s="157">
        <f>'DM Budget - 2 Sites'!M155</f>
        <v>31519</v>
      </c>
      <c r="F36" s="157">
        <f>'DM Budget - 2 Sites'!P155</f>
        <v>32464</v>
      </c>
      <c r="G36" s="158">
        <f>'DM Budget - 2 Sites'!R155</f>
        <v>128183</v>
      </c>
      <c r="H36" s="156"/>
      <c r="I36" s="157">
        <f>'DM Budget - 3 Sites'!G155</f>
        <v>33600</v>
      </c>
      <c r="J36" s="157">
        <f>'DM Budget - 3 Sites'!J155</f>
        <v>39275</v>
      </c>
      <c r="K36" s="157">
        <f>'DM Budget - 3 Sites'!M155</f>
        <v>40454</v>
      </c>
      <c r="L36" s="157">
        <f>'DM Budget - 3 Sites'!P155</f>
        <v>41667</v>
      </c>
      <c r="M36" s="158">
        <f>'DM Budget - 3 Sites'!R155</f>
        <v>154996</v>
      </c>
    </row>
    <row r="37" spans="1:256" ht="16.2" thickBot="1" x14ac:dyDescent="0.35">
      <c r="A37" s="34" t="s">
        <v>50</v>
      </c>
      <c r="C37" s="34">
        <f>'DM Budget - 2 Sites'!G157</f>
        <v>33600</v>
      </c>
      <c r="D37" s="34">
        <f>'DM Budget - 2 Sites'!J157</f>
        <v>55680</v>
      </c>
      <c r="E37" s="34">
        <f>'DM Budget - 2 Sites'!M157</f>
        <v>44456</v>
      </c>
      <c r="F37" s="34">
        <f>'DM Budget - 2 Sites'!P157</f>
        <v>51622</v>
      </c>
      <c r="G37" s="66">
        <f>SUM(C37:F37)</f>
        <v>185358</v>
      </c>
      <c r="I37" s="34">
        <f>'DM Budget - 3 Sites'!G157</f>
        <v>33600</v>
      </c>
      <c r="J37" s="34">
        <f>'DM Budget - 3 Sites'!J157</f>
        <v>76955</v>
      </c>
      <c r="K37" s="34">
        <f>'DM Budget - 3 Sites'!M157</f>
        <v>59798</v>
      </c>
      <c r="L37" s="34">
        <f>'DM Budget - 3 Sites'!P157</f>
        <v>67425</v>
      </c>
      <c r="M37" s="66">
        <f>SUM(I37:L37)</f>
        <v>237778</v>
      </c>
    </row>
    <row r="38" spans="1:256" ht="16.2" thickTop="1" x14ac:dyDescent="0.3">
      <c r="A38" s="30"/>
      <c r="C38" s="30"/>
      <c r="D38" s="30"/>
      <c r="E38" s="30"/>
      <c r="F38" s="30"/>
      <c r="G38" s="65"/>
      <c r="I38" s="30"/>
      <c r="J38" s="30"/>
      <c r="K38" s="30"/>
      <c r="L38" s="30"/>
      <c r="M38" s="65"/>
    </row>
    <row r="39" spans="1:256" x14ac:dyDescent="0.3">
      <c r="A39" s="30" t="s">
        <v>52</v>
      </c>
      <c r="C39" s="30">
        <f>'DM Budget - 2 Sites'!G159</f>
        <v>33600</v>
      </c>
      <c r="D39" s="30">
        <f>'DM Budget - 2 Sites'!J159</f>
        <v>112015</v>
      </c>
      <c r="E39" s="30">
        <f>'DM Budget - 2 Sites'!M159</f>
        <v>100010</v>
      </c>
      <c r="F39" s="30">
        <f>'DM Budget - 2 Sites'!P159</f>
        <v>112713</v>
      </c>
      <c r="G39" s="65">
        <f>'DM Budget - 2 Sites'!R159</f>
        <v>358338</v>
      </c>
      <c r="I39" s="30">
        <f>'DM Budget - 3 Sites'!G159</f>
        <v>33600</v>
      </c>
      <c r="J39" s="30">
        <f>'DM Budget - 3 Sites'!J159</f>
        <v>138950</v>
      </c>
      <c r="K39" s="30">
        <f>'DM Budget - 3 Sites'!M159</f>
        <v>120296</v>
      </c>
      <c r="L39" s="30">
        <f>'DM Budget - 3 Sites'!P159</f>
        <v>133608</v>
      </c>
      <c r="M39" s="65">
        <f>'DM Budget - 3 Sites'!R159</f>
        <v>426454</v>
      </c>
    </row>
    <row r="40" spans="1:256" ht="16.2" thickBot="1" x14ac:dyDescent="0.35">
      <c r="A40" s="34"/>
      <c r="C40" s="34"/>
      <c r="D40" s="34"/>
      <c r="E40" s="34"/>
      <c r="F40" s="34"/>
      <c r="G40" s="66"/>
      <c r="I40" s="34"/>
      <c r="J40" s="34"/>
      <c r="K40" s="34"/>
      <c r="L40" s="34"/>
      <c r="M40" s="66"/>
    </row>
    <row r="41" spans="1:256" ht="16.2" thickTop="1" x14ac:dyDescent="0.3">
      <c r="A41" s="48"/>
      <c r="C41" s="48"/>
      <c r="D41" s="48"/>
      <c r="E41" s="48"/>
      <c r="F41" s="48"/>
      <c r="G41" s="63"/>
      <c r="I41" s="48"/>
      <c r="J41" s="48"/>
      <c r="K41" s="48"/>
      <c r="L41" s="48"/>
      <c r="M41" s="63"/>
    </row>
    <row r="42" spans="1:256" x14ac:dyDescent="0.3">
      <c r="A42" s="30" t="s">
        <v>21</v>
      </c>
      <c r="C42" s="148"/>
      <c r="D42" s="148"/>
      <c r="E42" s="148"/>
      <c r="F42" s="148"/>
      <c r="G42" s="148"/>
      <c r="H42" s="149"/>
      <c r="I42" s="148"/>
      <c r="J42" s="148"/>
      <c r="K42" s="148"/>
      <c r="L42" s="148"/>
      <c r="M42" s="148"/>
      <c r="N42" s="149"/>
    </row>
    <row r="43" spans="1:256" x14ac:dyDescent="0.3">
      <c r="A43" s="30" t="s">
        <v>158</v>
      </c>
      <c r="C43" s="30">
        <f>'DM Budget - 2 Sites'!G164</f>
        <v>4032</v>
      </c>
      <c r="D43" s="30">
        <f>'DM Budget - 2 Sites'!J164</f>
        <v>9724.7999999999993</v>
      </c>
      <c r="E43" s="30">
        <f>'DM Budget - 2 Sites'!M164</f>
        <v>8469.36</v>
      </c>
      <c r="F43" s="30">
        <f>'DM Budget - 2 Sites'!P164</f>
        <v>8723.0399999999991</v>
      </c>
      <c r="G43" s="65">
        <f>'DM Budget - 2 Sites'!R164</f>
        <v>30949.199999999997</v>
      </c>
      <c r="I43" s="30">
        <f>'DM Budget - 3 Sites'!G164</f>
        <v>4032</v>
      </c>
      <c r="J43" s="30">
        <f>'DM Budget - 3 Sites'!J164</f>
        <v>12621</v>
      </c>
      <c r="K43" s="30">
        <f>'DM Budget - 3 Sites'!M164</f>
        <v>10656.48</v>
      </c>
      <c r="L43" s="30">
        <f>'DM Budget - 3 Sites'!P164</f>
        <v>10975.8</v>
      </c>
      <c r="M43" s="65">
        <f>'DM Budget - 3 Sites'!R164</f>
        <v>38285.279999999999</v>
      </c>
    </row>
    <row r="44" spans="1:256" s="147" customFormat="1" ht="16.2" thickBot="1" x14ac:dyDescent="0.35">
      <c r="A44" s="145" t="s">
        <v>167</v>
      </c>
      <c r="B44"/>
      <c r="C44" s="145">
        <f>'DM Budget - 2 Sites'!G165</f>
        <v>6585.5999999999995</v>
      </c>
      <c r="D44" s="145">
        <f>'DM Budget - 2 Sites'!J165</f>
        <v>21304.465</v>
      </c>
      <c r="E44" s="145">
        <f>'DM Budget - 2 Sites'!M165</f>
        <v>18983.887999999999</v>
      </c>
      <c r="F44" s="145">
        <f>'DM Budget - 2 Sites'!P165</f>
        <v>21251.306999999997</v>
      </c>
      <c r="G44" s="146">
        <f>'DM Budget - 2 Sites'!R165</f>
        <v>68125.259999999995</v>
      </c>
      <c r="I44" s="145">
        <f>'DM Budget - 3 Sites'!G165</f>
        <v>6585.5999999999995</v>
      </c>
      <c r="J44" s="145">
        <f>'DM Budget - 3 Sites'!J165</f>
        <v>26524.924999999999</v>
      </c>
      <c r="K44" s="145">
        <f>'DM Budget - 3 Sites'!M165</f>
        <v>22916.683999999997</v>
      </c>
      <c r="L44" s="145">
        <f>'DM Budget - 3 Sites'!P165</f>
        <v>25302.164999999997</v>
      </c>
      <c r="M44" s="146">
        <f>'DM Budget - 3 Sites'!R165</f>
        <v>81329.373999999996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6.2" thickTop="1" x14ac:dyDescent="0.3">
      <c r="A45" s="30"/>
      <c r="C45" s="30"/>
      <c r="D45" s="30"/>
      <c r="E45" s="30"/>
      <c r="F45" s="30"/>
      <c r="G45" s="65"/>
      <c r="I45" s="30"/>
      <c r="J45" s="30"/>
      <c r="K45" s="30"/>
      <c r="L45" s="30"/>
      <c r="M45" s="65"/>
    </row>
    <row r="46" spans="1:256" x14ac:dyDescent="0.3">
      <c r="A46" s="3" t="s">
        <v>169</v>
      </c>
      <c r="C46" s="30">
        <f>'DM Budget - 2 Sites'!G167</f>
        <v>10617.599999999999</v>
      </c>
      <c r="D46" s="30">
        <f>'DM Budget - 2 Sites'!J167</f>
        <v>31029.264999999999</v>
      </c>
      <c r="E46" s="30">
        <f>'DM Budget - 2 Sites'!M167</f>
        <v>27453.248</v>
      </c>
      <c r="F46" s="30">
        <f>'DM Budget - 2 Sites'!P167</f>
        <v>29974.346999999994</v>
      </c>
      <c r="G46" s="30">
        <f>'DM Budget - 2 Sites'!R167</f>
        <v>99074.459999999992</v>
      </c>
      <c r="H46" s="149"/>
      <c r="I46" s="30">
        <f>'DM Budget - 3 Sites'!G167</f>
        <v>10617.599999999999</v>
      </c>
      <c r="J46" s="30">
        <f>'DM Budget - 3 Sites'!J167</f>
        <v>39145.925000000003</v>
      </c>
      <c r="K46" s="30">
        <f>'DM Budget - 3 Sites'!M167</f>
        <v>33573.163999999997</v>
      </c>
      <c r="L46" s="30">
        <f>'DM Budget - 3 Sites'!P167</f>
        <v>36277.964999999997</v>
      </c>
      <c r="M46" s="65">
        <f>'DM Budget - 3 Sites'!R167</f>
        <v>119614.65399999999</v>
      </c>
    </row>
    <row r="47" spans="1:256" s="147" customFormat="1" ht="16.2" thickBot="1" x14ac:dyDescent="0.35">
      <c r="A47" s="145"/>
      <c r="B47"/>
      <c r="C47" s="145"/>
      <c r="D47" s="145"/>
      <c r="E47" s="145"/>
      <c r="F47" s="145"/>
      <c r="G47" s="146"/>
      <c r="I47" s="145"/>
      <c r="J47" s="145"/>
      <c r="K47" s="145"/>
      <c r="L47" s="145"/>
      <c r="M47" s="146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6.2" thickTop="1" x14ac:dyDescent="0.3">
      <c r="A48" s="30"/>
      <c r="C48" s="30"/>
      <c r="D48" s="30"/>
      <c r="E48" s="30"/>
      <c r="F48" s="30"/>
      <c r="G48" s="65"/>
      <c r="I48" s="30"/>
      <c r="J48" s="30"/>
      <c r="K48" s="30"/>
      <c r="L48" s="30"/>
      <c r="M48" s="65"/>
    </row>
    <row r="49" spans="1:13" x14ac:dyDescent="0.3">
      <c r="A49" s="30" t="s">
        <v>53</v>
      </c>
      <c r="C49" s="119">
        <f>C39+C46</f>
        <v>44217.599999999999</v>
      </c>
      <c r="D49" s="119">
        <f>D39+D46</f>
        <v>143044.26500000001</v>
      </c>
      <c r="E49" s="119">
        <f>E39+E46</f>
        <v>127463.24799999999</v>
      </c>
      <c r="F49" s="119">
        <f>F39+F46</f>
        <v>142687.34700000001</v>
      </c>
      <c r="G49" s="141">
        <f>'DM Budget - 2 Sites'!R169</f>
        <v>457412.45999999996</v>
      </c>
      <c r="I49" s="119">
        <f>'DM Budget - 3 Sites'!G169</f>
        <v>44217.599999999999</v>
      </c>
      <c r="J49" s="119">
        <f>'DM Budget - 3 Sites'!J169</f>
        <v>178095.92499999999</v>
      </c>
      <c r="K49" s="119">
        <f>'DM Budget - 3 Sites'!M169</f>
        <v>153869.16399999999</v>
      </c>
      <c r="L49" s="119">
        <f>'DM Budget - 3 Sites'!P169</f>
        <v>169885.965</v>
      </c>
      <c r="M49" s="141">
        <f>'DM Budget - 3 Sites'!R169</f>
        <v>546068.65399999998</v>
      </c>
    </row>
    <row r="50" spans="1:13" ht="16.2" thickBot="1" x14ac:dyDescent="0.35">
      <c r="A50" s="94" t="s">
        <v>4</v>
      </c>
      <c r="C50" s="94"/>
      <c r="D50" s="94"/>
      <c r="E50" s="94"/>
      <c r="F50" s="94"/>
      <c r="G50" s="64"/>
      <c r="I50" s="94"/>
      <c r="J50" s="94"/>
      <c r="K50" s="94"/>
      <c r="L50" s="94"/>
      <c r="M50" s="64"/>
    </row>
    <row r="51" spans="1:13" ht="16.2" thickTop="1" x14ac:dyDescent="0.3">
      <c r="A51" s="1"/>
      <c r="C51" s="1"/>
      <c r="D51" s="1"/>
      <c r="E51" s="1"/>
      <c r="F51" s="1"/>
      <c r="G51" s="1"/>
      <c r="I51" s="1"/>
      <c r="J51" s="1"/>
      <c r="K51" s="1"/>
      <c r="L51" s="1"/>
      <c r="M51" s="1"/>
    </row>
    <row r="52" spans="1:13" x14ac:dyDescent="0.3">
      <c r="A52" s="1"/>
      <c r="C52" s="1"/>
      <c r="D52" s="1"/>
      <c r="E52" s="1"/>
      <c r="F52" s="1"/>
      <c r="G52" s="1"/>
      <c r="I52" s="1"/>
      <c r="J52" s="1"/>
      <c r="K52" s="1"/>
      <c r="L52" s="1"/>
      <c r="M52" s="1"/>
    </row>
  </sheetData>
  <mergeCells count="3">
    <mergeCell ref="C7:G8"/>
    <mergeCell ref="I7:M8"/>
    <mergeCell ref="A7:A8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BG175"/>
  <sheetViews>
    <sheetView zoomScale="70" zoomScaleNormal="70" workbookViewId="0"/>
  </sheetViews>
  <sheetFormatPr defaultColWidth="11.21875" defaultRowHeight="15.6" x14ac:dyDescent="0.3"/>
  <cols>
    <col min="1" max="1" width="51.77734375" style="5" customWidth="1"/>
    <col min="2" max="2" width="8.77734375" style="5" customWidth="1"/>
    <col min="3" max="3" width="111.5546875" style="5" bestFit="1" customWidth="1"/>
    <col min="4" max="4" width="21.5546875" style="5" bestFit="1" customWidth="1"/>
    <col min="5" max="5" width="10.21875" style="43" customWidth="1"/>
    <col min="6" max="6" width="11.77734375" style="5" customWidth="1"/>
    <col min="7" max="7" width="15" style="5" customWidth="1"/>
    <col min="8" max="8" width="8.77734375" style="43" customWidth="1"/>
    <col min="9" max="9" width="11.77734375" style="5" customWidth="1"/>
    <col min="10" max="10" width="13.21875" style="5" customWidth="1"/>
    <col min="11" max="11" width="8.77734375" style="43" customWidth="1"/>
    <col min="12" max="12" width="11.77734375" style="5" customWidth="1"/>
    <col min="13" max="13" width="13.21875" style="5" customWidth="1"/>
    <col min="14" max="14" width="8.77734375" style="43" customWidth="1"/>
    <col min="15" max="15" width="11.77734375" style="5" customWidth="1"/>
    <col min="16" max="16" width="13.21875" style="5" customWidth="1"/>
    <col min="17" max="17" width="10.77734375" style="18" customWidth="1"/>
    <col min="18" max="18" width="14.44140625" style="18" customWidth="1"/>
    <col min="19" max="19" width="15.77734375" style="135" customWidth="1"/>
    <col min="20" max="16384" width="11.21875" style="5"/>
  </cols>
  <sheetData>
    <row r="1" spans="1:19" x14ac:dyDescent="0.3">
      <c r="A1" s="3"/>
      <c r="B1" s="1"/>
      <c r="C1" s="1"/>
      <c r="D1" s="1"/>
      <c r="E1" s="36"/>
      <c r="F1" s="1"/>
      <c r="G1" s="1"/>
      <c r="H1" s="36"/>
      <c r="I1" s="1"/>
      <c r="J1" s="1"/>
      <c r="K1" s="36"/>
      <c r="L1" s="1"/>
      <c r="M1" s="1"/>
      <c r="N1" s="36"/>
      <c r="O1" s="1"/>
      <c r="P1" s="1"/>
      <c r="Q1" s="3"/>
      <c r="R1" s="3"/>
    </row>
    <row r="2" spans="1:19" ht="15" customHeight="1" x14ac:dyDescent="0.3">
      <c r="A2" s="3"/>
      <c r="B2" s="1"/>
      <c r="C2" s="1"/>
      <c r="D2" s="1"/>
      <c r="H2" s="36"/>
      <c r="I2" s="36"/>
      <c r="J2" s="36"/>
      <c r="K2" s="36"/>
      <c r="L2" s="36"/>
      <c r="M2" s="36"/>
      <c r="N2" s="36"/>
      <c r="O2" s="1"/>
      <c r="P2" s="1"/>
      <c r="Q2" s="3"/>
      <c r="R2" s="6">
        <f ca="1">NOW()</f>
        <v>45811.527532523149</v>
      </c>
    </row>
    <row r="3" spans="1:19" ht="15" customHeight="1" x14ac:dyDescent="0.3">
      <c r="A3" s="104" t="s">
        <v>32</v>
      </c>
      <c r="B3" s="113"/>
      <c r="C3" s="1"/>
      <c r="D3" s="1"/>
      <c r="H3" s="36"/>
      <c r="I3" s="36"/>
      <c r="J3" s="36"/>
      <c r="K3" s="36"/>
      <c r="L3" s="36"/>
      <c r="M3" s="36"/>
      <c r="N3" s="36"/>
      <c r="O3" s="1"/>
      <c r="P3" s="1"/>
      <c r="Q3" s="3"/>
    </row>
    <row r="4" spans="1:19" ht="15" customHeight="1" x14ac:dyDescent="0.3">
      <c r="A4" s="104" t="s">
        <v>26</v>
      </c>
      <c r="B4" s="113"/>
      <c r="C4" s="1"/>
      <c r="D4" s="1"/>
      <c r="H4" s="36"/>
      <c r="I4" s="36"/>
      <c r="J4" s="36"/>
      <c r="K4" s="36"/>
      <c r="L4" s="36"/>
      <c r="M4" s="36"/>
      <c r="N4" s="36"/>
      <c r="O4" s="1"/>
      <c r="P4" s="1"/>
      <c r="Q4" s="3"/>
      <c r="R4" s="7"/>
    </row>
    <row r="5" spans="1:19" ht="15" customHeight="1" x14ac:dyDescent="0.3">
      <c r="A5" s="104" t="s">
        <v>197</v>
      </c>
      <c r="B5" s="113"/>
      <c r="C5" s="2"/>
      <c r="D5" s="2"/>
      <c r="H5" s="36"/>
      <c r="I5" s="36"/>
      <c r="J5" s="36"/>
      <c r="K5" s="36"/>
      <c r="L5" s="36"/>
      <c r="M5" s="36"/>
      <c r="N5" s="36"/>
      <c r="O5" s="1"/>
      <c r="P5" s="1"/>
      <c r="Q5" s="3"/>
      <c r="R5" s="3"/>
    </row>
    <row r="6" spans="1:19" x14ac:dyDescent="0.3">
      <c r="A6" s="104" t="s">
        <v>85</v>
      </c>
      <c r="B6" s="113"/>
      <c r="C6" s="1"/>
      <c r="D6" s="1"/>
      <c r="H6" s="36"/>
      <c r="I6" s="1"/>
      <c r="J6" s="1"/>
      <c r="K6" s="36"/>
      <c r="L6" s="1"/>
      <c r="M6" s="1"/>
      <c r="N6" s="36"/>
      <c r="O6" s="1"/>
      <c r="P6" s="1"/>
      <c r="Q6" s="3"/>
      <c r="R6" s="7"/>
    </row>
    <row r="7" spans="1:19" x14ac:dyDescent="0.3">
      <c r="A7" s="107" t="s">
        <v>144</v>
      </c>
      <c r="B7" s="108">
        <v>0.35</v>
      </c>
      <c r="C7" s="74" t="s">
        <v>40</v>
      </c>
      <c r="D7" s="1"/>
      <c r="E7" s="176" t="s">
        <v>88</v>
      </c>
      <c r="F7" s="176"/>
      <c r="G7" s="176"/>
      <c r="H7" s="40"/>
      <c r="I7" s="1"/>
      <c r="J7" s="1"/>
      <c r="K7" s="36"/>
      <c r="L7" s="1"/>
      <c r="M7" s="1"/>
      <c r="N7" s="36"/>
      <c r="O7" s="1"/>
      <c r="P7" s="1"/>
      <c r="Q7" s="3"/>
      <c r="R7" s="7"/>
    </row>
    <row r="8" spans="1:19" x14ac:dyDescent="0.3">
      <c r="A8" s="48" t="s">
        <v>145</v>
      </c>
      <c r="B8" s="109">
        <v>0.17499999999999999</v>
      </c>
      <c r="C8" s="71" t="s">
        <v>40</v>
      </c>
      <c r="D8" s="1"/>
      <c r="E8" s="120" t="s">
        <v>201</v>
      </c>
      <c r="F8" s="175">
        <f>G169</f>
        <v>44217.599999999999</v>
      </c>
      <c r="G8" s="175"/>
      <c r="H8" s="40"/>
      <c r="I8" s="1"/>
      <c r="J8" s="1"/>
      <c r="K8" s="36"/>
      <c r="L8" s="1"/>
      <c r="M8" s="1"/>
      <c r="N8" s="36"/>
      <c r="O8" s="1"/>
      <c r="P8" s="1"/>
      <c r="Q8" s="3"/>
      <c r="R8" s="7"/>
    </row>
    <row r="9" spans="1:19" x14ac:dyDescent="0.3">
      <c r="A9" s="48" t="s">
        <v>157</v>
      </c>
      <c r="B9" s="109">
        <v>0.12</v>
      </c>
      <c r="C9" s="71" t="s">
        <v>40</v>
      </c>
      <c r="D9" s="1"/>
      <c r="E9" s="120" t="s">
        <v>46</v>
      </c>
      <c r="F9" s="179">
        <f>J169</f>
        <v>143044.26500000001</v>
      </c>
      <c r="G9" s="180"/>
      <c r="H9" s="36"/>
      <c r="I9" s="1"/>
      <c r="J9" s="1"/>
      <c r="K9" s="36"/>
      <c r="L9" s="1"/>
      <c r="M9" s="1"/>
      <c r="N9" s="36"/>
      <c r="O9" s="1"/>
      <c r="P9" s="1"/>
      <c r="Q9" s="3"/>
      <c r="R9" s="7"/>
    </row>
    <row r="10" spans="1:19" x14ac:dyDescent="0.3">
      <c r="A10" s="48" t="s">
        <v>146</v>
      </c>
      <c r="B10" s="109">
        <v>0.03</v>
      </c>
      <c r="C10" s="71" t="s">
        <v>45</v>
      </c>
      <c r="D10" s="1"/>
      <c r="E10" s="120" t="s">
        <v>43</v>
      </c>
      <c r="F10" s="179">
        <f>M169</f>
        <v>127463.24799999999</v>
      </c>
      <c r="G10" s="180"/>
      <c r="H10" s="36"/>
      <c r="I10" s="1"/>
      <c r="J10" s="1"/>
      <c r="K10" s="36"/>
      <c r="L10" s="1"/>
      <c r="M10" s="1"/>
      <c r="N10" s="36"/>
      <c r="O10" s="1"/>
      <c r="P10" s="1"/>
      <c r="Q10" s="3"/>
      <c r="R10" s="7"/>
    </row>
    <row r="11" spans="1:19" ht="16.2" thickBot="1" x14ac:dyDescent="0.35">
      <c r="A11" s="48" t="s">
        <v>186</v>
      </c>
      <c r="B11" s="110">
        <v>1</v>
      </c>
      <c r="C11" s="71" t="s">
        <v>87</v>
      </c>
      <c r="D11" s="1"/>
      <c r="E11" s="121" t="s">
        <v>44</v>
      </c>
      <c r="F11" s="181">
        <f>P169</f>
        <v>142687.34699999998</v>
      </c>
      <c r="G11" s="182"/>
      <c r="H11" s="36"/>
      <c r="I11" s="1"/>
      <c r="J11" s="1"/>
      <c r="K11" s="36"/>
      <c r="L11" s="1"/>
      <c r="M11" s="1"/>
      <c r="N11" s="36"/>
      <c r="O11" s="1"/>
      <c r="P11" s="1"/>
      <c r="Q11" s="3"/>
      <c r="R11" s="7"/>
    </row>
    <row r="12" spans="1:19" ht="16.2" thickTop="1" x14ac:dyDescent="0.3">
      <c r="A12" s="48" t="s">
        <v>62</v>
      </c>
      <c r="B12" s="113">
        <v>2</v>
      </c>
      <c r="C12" s="71" t="s">
        <v>86</v>
      </c>
      <c r="D12" s="1"/>
      <c r="E12" s="142" t="s">
        <v>60</v>
      </c>
      <c r="F12" s="177">
        <f>R169</f>
        <v>457412.45999999996</v>
      </c>
      <c r="G12" s="178"/>
      <c r="H12" s="36"/>
      <c r="I12" s="1"/>
      <c r="J12" s="1"/>
      <c r="K12" s="36"/>
      <c r="L12" s="1"/>
      <c r="M12" s="1"/>
      <c r="N12" s="36"/>
      <c r="O12" s="1"/>
      <c r="P12" s="1"/>
      <c r="Q12" s="3"/>
      <c r="R12" s="7"/>
    </row>
    <row r="13" spans="1:19" x14ac:dyDescent="0.3">
      <c r="A13" s="48" t="s">
        <v>121</v>
      </c>
      <c r="B13" s="110" t="s">
        <v>187</v>
      </c>
      <c r="C13" s="71" t="s">
        <v>120</v>
      </c>
      <c r="D13" s="1"/>
      <c r="H13" s="36"/>
      <c r="I13" s="1"/>
      <c r="J13" s="1"/>
      <c r="K13" s="36"/>
      <c r="L13" s="1"/>
      <c r="M13" s="1"/>
      <c r="N13" s="36"/>
      <c r="O13" s="1"/>
      <c r="P13" s="1"/>
      <c r="Q13" s="3"/>
      <c r="R13" s="7"/>
    </row>
    <row r="14" spans="1:19" x14ac:dyDescent="0.3">
      <c r="A14" s="48" t="s">
        <v>92</v>
      </c>
      <c r="B14" s="110" t="s">
        <v>187</v>
      </c>
      <c r="C14" s="71" t="s">
        <v>120</v>
      </c>
      <c r="D14" s="1"/>
      <c r="E14" s="36"/>
      <c r="F14" s="1"/>
      <c r="G14" s="1"/>
      <c r="H14" s="36"/>
      <c r="I14" s="1"/>
      <c r="J14" s="1"/>
      <c r="K14" s="36"/>
      <c r="L14" s="1"/>
      <c r="M14" s="1"/>
      <c r="N14" s="36"/>
      <c r="O14" s="1"/>
      <c r="P14" s="1"/>
      <c r="Q14" s="3"/>
      <c r="R14" s="7"/>
    </row>
    <row r="15" spans="1:19" x14ac:dyDescent="0.3">
      <c r="A15" s="125" t="s">
        <v>130</v>
      </c>
      <c r="B15" s="126" t="s">
        <v>187</v>
      </c>
      <c r="C15" s="134" t="s">
        <v>120</v>
      </c>
      <c r="D15" s="1"/>
      <c r="E15" s="36"/>
      <c r="F15" s="1"/>
      <c r="G15" s="1"/>
      <c r="H15" s="36"/>
      <c r="I15" s="1"/>
      <c r="J15" s="1"/>
      <c r="K15" s="36"/>
      <c r="L15" s="1"/>
      <c r="M15" s="1"/>
      <c r="N15" s="36"/>
      <c r="O15" s="1"/>
      <c r="P15" s="1"/>
      <c r="Q15" s="3"/>
      <c r="R15" s="7"/>
    </row>
    <row r="16" spans="1:19" s="18" customFormat="1" x14ac:dyDescent="0.3">
      <c r="A16" s="49"/>
      <c r="B16" s="127"/>
      <c r="C16" s="3"/>
      <c r="D16" s="3"/>
      <c r="E16" s="172" t="s">
        <v>0</v>
      </c>
      <c r="F16" s="172"/>
      <c r="G16" s="172"/>
      <c r="H16" s="172"/>
      <c r="I16" s="172"/>
      <c r="J16" s="172"/>
      <c r="K16" s="172" t="s">
        <v>1</v>
      </c>
      <c r="L16" s="172"/>
      <c r="M16" s="172"/>
      <c r="N16" s="172" t="s">
        <v>2</v>
      </c>
      <c r="O16" s="172"/>
      <c r="P16" s="172"/>
      <c r="Q16" s="3"/>
      <c r="R16" s="7"/>
      <c r="S16" s="135"/>
    </row>
    <row r="17" spans="1:19" x14ac:dyDescent="0.3">
      <c r="A17" s="91"/>
      <c r="B17" s="8"/>
      <c r="C17" s="8"/>
      <c r="D17" s="62" t="s">
        <v>37</v>
      </c>
      <c r="E17" s="80"/>
      <c r="F17" s="81"/>
      <c r="G17" s="74"/>
      <c r="H17" s="60"/>
      <c r="I17" s="8"/>
      <c r="J17" s="8"/>
      <c r="K17" s="80"/>
      <c r="L17" s="81"/>
      <c r="M17" s="74"/>
      <c r="N17" s="80"/>
      <c r="O17" s="81"/>
      <c r="P17" s="74"/>
      <c r="Q17" s="84"/>
      <c r="R17" s="9"/>
    </row>
    <row r="18" spans="1:19" x14ac:dyDescent="0.3">
      <c r="A18" s="92" t="s">
        <v>25</v>
      </c>
      <c r="B18" s="1"/>
      <c r="C18" s="1"/>
      <c r="D18" s="63" t="s">
        <v>36</v>
      </c>
      <c r="E18" s="40"/>
      <c r="F18" s="10" t="s">
        <v>203</v>
      </c>
      <c r="G18" s="71"/>
      <c r="H18" s="36"/>
      <c r="I18" s="10" t="s">
        <v>46</v>
      </c>
      <c r="J18" s="1"/>
      <c r="K18" s="40"/>
      <c r="L18" s="10" t="s">
        <v>43</v>
      </c>
      <c r="M18" s="71"/>
      <c r="N18" s="40"/>
      <c r="O18" s="10" t="s">
        <v>44</v>
      </c>
      <c r="P18" s="71"/>
      <c r="Q18" s="173" t="s">
        <v>3</v>
      </c>
      <c r="R18" s="173"/>
      <c r="S18" s="136" t="s">
        <v>41</v>
      </c>
    </row>
    <row r="19" spans="1:19" x14ac:dyDescent="0.3">
      <c r="A19" s="93"/>
      <c r="B19" s="11"/>
      <c r="C19" s="1"/>
      <c r="D19" s="63" t="s">
        <v>122</v>
      </c>
      <c r="E19" s="174" t="s">
        <v>4</v>
      </c>
      <c r="F19" s="174"/>
      <c r="G19" s="174"/>
      <c r="H19" s="174" t="s">
        <v>4</v>
      </c>
      <c r="I19" s="174"/>
      <c r="J19" s="174"/>
      <c r="K19" s="174" t="s">
        <v>4</v>
      </c>
      <c r="L19" s="174"/>
      <c r="M19" s="174"/>
      <c r="N19" s="174" t="s">
        <v>4</v>
      </c>
      <c r="O19" s="174"/>
      <c r="P19" s="174"/>
      <c r="Q19" s="173" t="s">
        <v>4</v>
      </c>
      <c r="R19" s="173"/>
      <c r="S19" s="136"/>
    </row>
    <row r="20" spans="1:19" ht="16.2" thickBot="1" x14ac:dyDescent="0.35">
      <c r="A20" s="94" t="s">
        <v>5</v>
      </c>
      <c r="B20" s="12"/>
      <c r="C20" s="12"/>
      <c r="D20" s="64" t="s">
        <v>147</v>
      </c>
      <c r="E20" s="67" t="s">
        <v>6</v>
      </c>
      <c r="F20" s="13" t="s">
        <v>7</v>
      </c>
      <c r="G20" s="72" t="s">
        <v>8</v>
      </c>
      <c r="H20" s="61" t="s">
        <v>6</v>
      </c>
      <c r="I20" s="13" t="s">
        <v>7</v>
      </c>
      <c r="J20" s="13" t="s">
        <v>8</v>
      </c>
      <c r="K20" s="67" t="s">
        <v>6</v>
      </c>
      <c r="L20" s="13" t="s">
        <v>7</v>
      </c>
      <c r="M20" s="72" t="s">
        <v>8</v>
      </c>
      <c r="N20" s="67" t="s">
        <v>6</v>
      </c>
      <c r="O20" s="13" t="s">
        <v>7</v>
      </c>
      <c r="P20" s="72" t="s">
        <v>8</v>
      </c>
      <c r="Q20" s="85" t="s">
        <v>6</v>
      </c>
      <c r="R20" s="14" t="s">
        <v>8</v>
      </c>
    </row>
    <row r="21" spans="1:19" ht="16.2" thickTop="1" x14ac:dyDescent="0.3">
      <c r="A21" s="93"/>
      <c r="B21" s="11"/>
      <c r="C21" s="1"/>
      <c r="D21" s="63"/>
      <c r="E21" s="40"/>
      <c r="F21" s="11"/>
      <c r="G21" s="73"/>
      <c r="H21" s="69"/>
      <c r="I21" s="11"/>
      <c r="J21" s="11"/>
      <c r="K21" s="68"/>
      <c r="L21" s="11"/>
      <c r="M21" s="73"/>
      <c r="N21" s="68"/>
      <c r="O21" s="11"/>
      <c r="P21" s="73"/>
      <c r="Q21" s="3"/>
      <c r="R21" s="46"/>
      <c r="S21" s="136"/>
    </row>
    <row r="22" spans="1:19" x14ac:dyDescent="0.3">
      <c r="A22" s="30" t="s">
        <v>55</v>
      </c>
      <c r="B22" s="1"/>
      <c r="C22" s="1"/>
      <c r="D22" s="63"/>
      <c r="E22" s="40"/>
      <c r="F22" s="1"/>
      <c r="G22" s="71"/>
      <c r="H22" s="36"/>
      <c r="I22" s="1"/>
      <c r="J22" s="1"/>
      <c r="K22" s="40"/>
      <c r="L22" s="1"/>
      <c r="M22" s="71"/>
      <c r="N22" s="40"/>
      <c r="O22" s="1"/>
      <c r="P22" s="71"/>
      <c r="Q22" s="2"/>
      <c r="R22" s="3"/>
      <c r="S22" s="136"/>
    </row>
    <row r="23" spans="1:19" x14ac:dyDescent="0.3">
      <c r="A23" s="30"/>
      <c r="B23" s="1"/>
      <c r="C23" s="1"/>
      <c r="D23" s="63"/>
      <c r="E23" s="82" t="s">
        <v>4</v>
      </c>
      <c r="F23" s="1"/>
      <c r="G23" s="71"/>
      <c r="H23" s="36"/>
      <c r="I23" s="1"/>
      <c r="J23" s="1"/>
      <c r="K23" s="40"/>
      <c r="L23" s="1"/>
      <c r="M23" s="71"/>
      <c r="N23" s="40"/>
      <c r="O23" s="1"/>
      <c r="P23" s="71"/>
      <c r="Q23" s="86" t="s">
        <v>4</v>
      </c>
      <c r="R23" s="3"/>
      <c r="S23" s="136"/>
    </row>
    <row r="24" spans="1:19" x14ac:dyDescent="0.3">
      <c r="A24" s="30" t="s">
        <v>148</v>
      </c>
      <c r="B24" s="1"/>
      <c r="C24" s="1"/>
      <c r="D24" s="63"/>
      <c r="E24" s="38"/>
      <c r="F24" s="16"/>
      <c r="G24" s="25"/>
      <c r="H24" s="39"/>
      <c r="I24" s="16"/>
      <c r="J24" s="16"/>
      <c r="K24" s="37"/>
      <c r="L24" s="16"/>
      <c r="M24" s="25"/>
      <c r="N24" s="37"/>
      <c r="O24" s="16"/>
      <c r="P24" s="25"/>
      <c r="Q24" s="39"/>
      <c r="R24" s="17"/>
      <c r="S24" s="136"/>
    </row>
    <row r="25" spans="1:19" x14ac:dyDescent="0.3">
      <c r="A25" s="28" t="s">
        <v>72</v>
      </c>
      <c r="B25" s="1"/>
      <c r="C25" s="1" t="s">
        <v>102</v>
      </c>
      <c r="D25" s="63" t="s">
        <v>156</v>
      </c>
      <c r="E25" s="38">
        <v>0</v>
      </c>
      <c r="F25" s="16">
        <v>500</v>
      </c>
      <c r="G25" s="25">
        <f t="shared" ref="G25:G28" si="0">ROUND((+E25*F25),0)</f>
        <v>0</v>
      </c>
      <c r="H25" s="37">
        <v>20</v>
      </c>
      <c r="I25" s="16">
        <f>F25</f>
        <v>500</v>
      </c>
      <c r="J25" s="16">
        <f t="shared" ref="J25:J28" si="1">ROUND((+H25*I25),0)</f>
        <v>10000</v>
      </c>
      <c r="K25" s="37">
        <v>20</v>
      </c>
      <c r="L25" s="16">
        <f t="shared" ref="L25:L28" si="2">I25*(1+$B$10)</f>
        <v>515</v>
      </c>
      <c r="M25" s="25">
        <f t="shared" ref="M25:M28" si="3">ROUND((+K25*L25),0)</f>
        <v>10300</v>
      </c>
      <c r="N25" s="37">
        <v>20</v>
      </c>
      <c r="O25" s="16">
        <f t="shared" ref="O25:O28" si="4">L25*(1+$B$10)</f>
        <v>530.45000000000005</v>
      </c>
      <c r="P25" s="25">
        <f t="shared" ref="P25:P28" si="5">ROUND((+N25*O25),0)</f>
        <v>10609</v>
      </c>
      <c r="Q25" s="39">
        <f>E25+H25+K25+N25</f>
        <v>60</v>
      </c>
      <c r="R25" s="17">
        <f>G25+J25+M25+P25</f>
        <v>30909</v>
      </c>
      <c r="S25" s="92"/>
    </row>
    <row r="26" spans="1:19" x14ac:dyDescent="0.3">
      <c r="A26" s="28" t="s">
        <v>73</v>
      </c>
      <c r="B26" s="1"/>
      <c r="C26" s="1" t="s">
        <v>123</v>
      </c>
      <c r="D26" s="63" t="s">
        <v>156</v>
      </c>
      <c r="E26" s="38">
        <v>0</v>
      </c>
      <c r="F26" s="16">
        <v>300</v>
      </c>
      <c r="G26" s="25">
        <f t="shared" si="0"/>
        <v>0</v>
      </c>
      <c r="H26" s="37">
        <v>25</v>
      </c>
      <c r="I26" s="16">
        <f>F26</f>
        <v>300</v>
      </c>
      <c r="J26" s="16">
        <f t="shared" si="1"/>
        <v>7500</v>
      </c>
      <c r="K26" s="37">
        <v>25</v>
      </c>
      <c r="L26" s="16">
        <f t="shared" si="2"/>
        <v>309</v>
      </c>
      <c r="M26" s="25">
        <f t="shared" si="3"/>
        <v>7725</v>
      </c>
      <c r="N26" s="37">
        <v>25</v>
      </c>
      <c r="O26" s="16">
        <f t="shared" si="4"/>
        <v>318.27</v>
      </c>
      <c r="P26" s="25">
        <f t="shared" si="5"/>
        <v>7957</v>
      </c>
      <c r="Q26" s="39">
        <f>E26+H26+K26+N26</f>
        <v>75</v>
      </c>
      <c r="R26" s="17">
        <f>G26+J26+M26+P26</f>
        <v>23182</v>
      </c>
      <c r="S26" s="92"/>
    </row>
    <row r="27" spans="1:19" x14ac:dyDescent="0.3">
      <c r="A27" s="28" t="s">
        <v>75</v>
      </c>
      <c r="B27" s="1"/>
      <c r="C27" s="1" t="s">
        <v>103</v>
      </c>
      <c r="D27" s="63" t="s">
        <v>156</v>
      </c>
      <c r="E27" s="38">
        <v>0</v>
      </c>
      <c r="F27" s="16">
        <v>250</v>
      </c>
      <c r="G27" s="25">
        <f t="shared" si="0"/>
        <v>0</v>
      </c>
      <c r="H27" s="37">
        <v>10</v>
      </c>
      <c r="I27" s="16">
        <f>F27</f>
        <v>250</v>
      </c>
      <c r="J27" s="16">
        <f t="shared" si="1"/>
        <v>2500</v>
      </c>
      <c r="K27" s="37">
        <v>10</v>
      </c>
      <c r="L27" s="16">
        <f t="shared" si="2"/>
        <v>257.5</v>
      </c>
      <c r="M27" s="25">
        <f t="shared" si="3"/>
        <v>2575</v>
      </c>
      <c r="N27" s="37">
        <v>10</v>
      </c>
      <c r="O27" s="16">
        <f t="shared" si="4"/>
        <v>265.22500000000002</v>
      </c>
      <c r="P27" s="25">
        <f t="shared" si="5"/>
        <v>2652</v>
      </c>
      <c r="Q27" s="39">
        <f>E27+H27+K27+N27</f>
        <v>30</v>
      </c>
      <c r="R27" s="17">
        <f>G27+J27+M27+P27</f>
        <v>7727</v>
      </c>
      <c r="S27" s="92"/>
    </row>
    <row r="28" spans="1:19" x14ac:dyDescent="0.3">
      <c r="A28" s="28" t="s">
        <v>9</v>
      </c>
      <c r="B28" s="1"/>
      <c r="C28" s="1" t="s">
        <v>104</v>
      </c>
      <c r="D28" s="63" t="s">
        <v>156</v>
      </c>
      <c r="E28" s="38">
        <v>0</v>
      </c>
      <c r="F28" s="16">
        <v>250</v>
      </c>
      <c r="G28" s="25">
        <f t="shared" si="0"/>
        <v>0</v>
      </c>
      <c r="H28" s="37">
        <v>2</v>
      </c>
      <c r="I28" s="16">
        <f>F28</f>
        <v>250</v>
      </c>
      <c r="J28" s="16">
        <f t="shared" si="1"/>
        <v>500</v>
      </c>
      <c r="K28" s="37">
        <v>2</v>
      </c>
      <c r="L28" s="16">
        <f t="shared" si="2"/>
        <v>257.5</v>
      </c>
      <c r="M28" s="25">
        <f t="shared" si="3"/>
        <v>515</v>
      </c>
      <c r="N28" s="37">
        <v>2</v>
      </c>
      <c r="O28" s="16">
        <f t="shared" si="4"/>
        <v>265.22500000000002</v>
      </c>
      <c r="P28" s="25">
        <f t="shared" si="5"/>
        <v>530</v>
      </c>
      <c r="Q28" s="39">
        <f>E28+H28+K28+N28</f>
        <v>6</v>
      </c>
      <c r="R28" s="17">
        <f>G28+J28+M28+P28</f>
        <v>1545</v>
      </c>
      <c r="S28" s="92"/>
    </row>
    <row r="29" spans="1:19" x14ac:dyDescent="0.3">
      <c r="A29" s="30"/>
      <c r="B29" s="1"/>
      <c r="C29" s="1"/>
      <c r="D29" s="63"/>
      <c r="E29" s="38"/>
      <c r="F29" s="16"/>
      <c r="G29" s="25"/>
      <c r="H29" s="39"/>
      <c r="I29" s="16"/>
      <c r="J29" s="16"/>
      <c r="K29" s="37"/>
      <c r="L29" s="16"/>
      <c r="M29" s="25"/>
      <c r="N29" s="37"/>
      <c r="O29" s="16"/>
      <c r="P29" s="25"/>
      <c r="Q29" s="39"/>
      <c r="R29" s="17"/>
      <c r="S29" s="136"/>
    </row>
    <row r="30" spans="1:19" s="18" customFormat="1" x14ac:dyDescent="0.3">
      <c r="A30" s="90" t="s">
        <v>150</v>
      </c>
      <c r="B30" s="3"/>
      <c r="C30" s="3"/>
      <c r="D30" s="65"/>
      <c r="E30" s="38"/>
      <c r="F30" s="17"/>
      <c r="G30" s="35">
        <f>SUM(G25:G29)</f>
        <v>0</v>
      </c>
      <c r="H30" s="39"/>
      <c r="I30" s="17"/>
      <c r="J30" s="17">
        <f>SUM(J25:J29)</f>
        <v>20500</v>
      </c>
      <c r="K30" s="37"/>
      <c r="L30" s="17"/>
      <c r="M30" s="35">
        <f>SUM(M25:M29)</f>
        <v>21115</v>
      </c>
      <c r="N30" s="37"/>
      <c r="O30" s="17"/>
      <c r="P30" s="35">
        <f>SUM(P25:P29)</f>
        <v>21748</v>
      </c>
      <c r="Q30" s="32"/>
      <c r="R30" s="17">
        <f>SUM(R25:R29)</f>
        <v>63363</v>
      </c>
      <c r="S30" s="136">
        <f>G30+J30+M30+P30</f>
        <v>63363</v>
      </c>
    </row>
    <row r="31" spans="1:19" s="18" customFormat="1" x14ac:dyDescent="0.3">
      <c r="A31" s="90"/>
      <c r="B31" s="3"/>
      <c r="C31" s="3"/>
      <c r="D31" s="65"/>
      <c r="E31" s="38"/>
      <c r="F31" s="17"/>
      <c r="G31" s="35"/>
      <c r="H31" s="39"/>
      <c r="I31" s="17"/>
      <c r="J31" s="17"/>
      <c r="K31" s="37"/>
      <c r="L31" s="17"/>
      <c r="M31" s="35"/>
      <c r="N31" s="37"/>
      <c r="O31" s="17"/>
      <c r="P31" s="35"/>
      <c r="Q31" s="32"/>
      <c r="R31" s="17"/>
      <c r="S31" s="136"/>
    </row>
    <row r="32" spans="1:19" x14ac:dyDescent="0.3">
      <c r="A32" s="30" t="s">
        <v>149</v>
      </c>
      <c r="B32" s="1"/>
      <c r="C32" s="1"/>
      <c r="D32" s="63"/>
      <c r="E32" s="38"/>
      <c r="F32" s="16"/>
      <c r="G32" s="25"/>
      <c r="H32" s="39"/>
      <c r="I32" s="16"/>
      <c r="J32" s="16"/>
      <c r="K32" s="37"/>
      <c r="L32" s="16"/>
      <c r="M32" s="25"/>
      <c r="N32" s="37"/>
      <c r="O32" s="16"/>
      <c r="P32" s="25"/>
      <c r="Q32" s="87"/>
      <c r="R32" s="17"/>
      <c r="S32" s="136"/>
    </row>
    <row r="33" spans="1:19" x14ac:dyDescent="0.3">
      <c r="A33" s="28" t="s">
        <v>89</v>
      </c>
      <c r="B33" s="1"/>
      <c r="C33" s="1" t="s">
        <v>124</v>
      </c>
      <c r="D33" s="63" t="s">
        <v>156</v>
      </c>
      <c r="E33" s="38">
        <v>0</v>
      </c>
      <c r="F33" s="16">
        <v>250</v>
      </c>
      <c r="G33" s="25">
        <f t="shared" ref="G33:G35" si="6">ROUND((+E33*F33),0)</f>
        <v>0</v>
      </c>
      <c r="H33" s="39">
        <v>25</v>
      </c>
      <c r="I33" s="16">
        <f>F33</f>
        <v>250</v>
      </c>
      <c r="J33" s="16">
        <f t="shared" ref="J33:J35" si="7">ROUND((+H33*I33),0)</f>
        <v>6250</v>
      </c>
      <c r="K33" s="37">
        <v>25</v>
      </c>
      <c r="L33" s="16">
        <f t="shared" ref="L33:L35" si="8">I33*(1+$B$10)</f>
        <v>257.5</v>
      </c>
      <c r="M33" s="25">
        <f t="shared" ref="M33:M35" si="9">ROUND((+K33*L33),0)</f>
        <v>6438</v>
      </c>
      <c r="N33" s="37">
        <v>25</v>
      </c>
      <c r="O33" s="16">
        <f t="shared" ref="O33:O35" si="10">L33*(1+$B$10)</f>
        <v>265.22500000000002</v>
      </c>
      <c r="P33" s="25">
        <f t="shared" ref="P33:P35" si="11">ROUND((+N33*O33),0)</f>
        <v>6631</v>
      </c>
      <c r="Q33" s="39">
        <f>E33+H33+K33+N33</f>
        <v>75</v>
      </c>
      <c r="R33" s="17">
        <f>G33+J33+M33+P33</f>
        <v>19319</v>
      </c>
      <c r="S33" s="92"/>
    </row>
    <row r="34" spans="1:19" x14ac:dyDescent="0.3">
      <c r="A34" s="28" t="s">
        <v>24</v>
      </c>
      <c r="B34" s="1"/>
      <c r="C34" s="1" t="s">
        <v>105</v>
      </c>
      <c r="D34" s="63" t="s">
        <v>156</v>
      </c>
      <c r="E34" s="38">
        <v>0</v>
      </c>
      <c r="F34" s="16">
        <v>150</v>
      </c>
      <c r="G34" s="25">
        <f t="shared" si="6"/>
        <v>0</v>
      </c>
      <c r="H34" s="39">
        <v>12</v>
      </c>
      <c r="I34" s="16">
        <f>F34</f>
        <v>150</v>
      </c>
      <c r="J34" s="16">
        <f t="shared" si="7"/>
        <v>1800</v>
      </c>
      <c r="K34" s="37">
        <v>12</v>
      </c>
      <c r="L34" s="16">
        <f t="shared" si="8"/>
        <v>154.5</v>
      </c>
      <c r="M34" s="25">
        <f t="shared" si="9"/>
        <v>1854</v>
      </c>
      <c r="N34" s="37">
        <v>12</v>
      </c>
      <c r="O34" s="16">
        <f t="shared" si="10"/>
        <v>159.13499999999999</v>
      </c>
      <c r="P34" s="25">
        <f t="shared" si="11"/>
        <v>1910</v>
      </c>
      <c r="Q34" s="39">
        <f>E34+H34+K34+N34</f>
        <v>36</v>
      </c>
      <c r="R34" s="17">
        <f>G34+J34+M34+P34</f>
        <v>5564</v>
      </c>
      <c r="S34" s="92"/>
    </row>
    <row r="35" spans="1:19" x14ac:dyDescent="0.3">
      <c r="A35" s="28" t="s">
        <v>9</v>
      </c>
      <c r="B35" s="1"/>
      <c r="C35" s="1" t="s">
        <v>106</v>
      </c>
      <c r="D35" s="63" t="s">
        <v>156</v>
      </c>
      <c r="E35" s="38">
        <v>0</v>
      </c>
      <c r="F35" s="16">
        <v>150</v>
      </c>
      <c r="G35" s="25">
        <f t="shared" si="6"/>
        <v>0</v>
      </c>
      <c r="H35" s="39">
        <v>5</v>
      </c>
      <c r="I35" s="16">
        <f>F35</f>
        <v>150</v>
      </c>
      <c r="J35" s="16">
        <f t="shared" si="7"/>
        <v>750</v>
      </c>
      <c r="K35" s="37">
        <v>5</v>
      </c>
      <c r="L35" s="16">
        <f t="shared" si="8"/>
        <v>154.5</v>
      </c>
      <c r="M35" s="25">
        <f t="shared" si="9"/>
        <v>773</v>
      </c>
      <c r="N35" s="37">
        <v>5</v>
      </c>
      <c r="O35" s="16">
        <f t="shared" si="10"/>
        <v>159.13499999999999</v>
      </c>
      <c r="P35" s="25">
        <f t="shared" si="11"/>
        <v>796</v>
      </c>
      <c r="Q35" s="39">
        <f>E35+H35+K35+N35</f>
        <v>15</v>
      </c>
      <c r="R35" s="17">
        <f>G35+J35+M35+P35</f>
        <v>2319</v>
      </c>
      <c r="S35" s="92"/>
    </row>
    <row r="36" spans="1:19" x14ac:dyDescent="0.3">
      <c r="A36" s="28" t="s">
        <v>74</v>
      </c>
      <c r="B36" s="1"/>
      <c r="C36" s="1" t="s">
        <v>107</v>
      </c>
      <c r="D36" s="63" t="s">
        <v>156</v>
      </c>
      <c r="E36" s="38">
        <v>0</v>
      </c>
      <c r="F36" s="16">
        <v>120</v>
      </c>
      <c r="G36" s="25">
        <f>ROUND((+E36*F36),0)</f>
        <v>0</v>
      </c>
      <c r="H36" s="39">
        <v>3</v>
      </c>
      <c r="I36" s="16">
        <f>F36</f>
        <v>120</v>
      </c>
      <c r="J36" s="16">
        <f>ROUND((+H36*I36),0)</f>
        <v>360</v>
      </c>
      <c r="K36" s="37">
        <v>3</v>
      </c>
      <c r="L36" s="16">
        <f>I36*(1+$B$10)</f>
        <v>123.60000000000001</v>
      </c>
      <c r="M36" s="25">
        <f>ROUND((+K36*L36),0)</f>
        <v>371</v>
      </c>
      <c r="N36" s="37">
        <v>3</v>
      </c>
      <c r="O36" s="16">
        <f>L36*(1+$B$10)</f>
        <v>127.30800000000001</v>
      </c>
      <c r="P36" s="25">
        <f>ROUND((+N36*O36),0)</f>
        <v>382</v>
      </c>
      <c r="Q36" s="39">
        <f>E36+H36+K36+N36</f>
        <v>9</v>
      </c>
      <c r="R36" s="17">
        <f>G36+J36+M36+P36</f>
        <v>1113</v>
      </c>
      <c r="S36" s="92"/>
    </row>
    <row r="37" spans="1:19" x14ac:dyDescent="0.3">
      <c r="A37" s="144" t="s">
        <v>159</v>
      </c>
      <c r="B37" s="1"/>
      <c r="C37" s="1"/>
      <c r="D37" s="63"/>
      <c r="E37" s="38"/>
      <c r="F37" s="16"/>
      <c r="G37" s="25"/>
      <c r="H37" s="39"/>
      <c r="I37" s="16"/>
      <c r="J37" s="16"/>
      <c r="K37" s="37"/>
      <c r="L37" s="16"/>
      <c r="M37" s="25"/>
      <c r="N37" s="37"/>
      <c r="O37" s="16"/>
      <c r="P37" s="25"/>
      <c r="Q37" s="39"/>
      <c r="R37" s="17"/>
      <c r="S37" s="92"/>
    </row>
    <row r="38" spans="1:19" x14ac:dyDescent="0.3">
      <c r="A38" s="101" t="s">
        <v>108</v>
      </c>
      <c r="B38" s="102"/>
      <c r="C38" s="102" t="s">
        <v>141</v>
      </c>
      <c r="D38" s="103" t="s">
        <v>171</v>
      </c>
      <c r="E38" s="116">
        <v>0</v>
      </c>
      <c r="F38" s="16">
        <v>120</v>
      </c>
      <c r="G38" s="25">
        <f t="shared" ref="G38:G39" si="12">ROUND((+E38*F38),0)</f>
        <v>0</v>
      </c>
      <c r="H38" s="116" t="str">
        <f>IF(B11=1, "40", "20")</f>
        <v>40</v>
      </c>
      <c r="I38" s="16">
        <f t="shared" ref="I38:I39" si="13">F38</f>
        <v>120</v>
      </c>
      <c r="J38" s="16">
        <f t="shared" ref="J38:J39" si="14">ROUND((+H38*I38),0)</f>
        <v>4800</v>
      </c>
      <c r="K38" s="116" t="str">
        <f>IF(B11=1, "40", "20")</f>
        <v>40</v>
      </c>
      <c r="L38" s="16">
        <f t="shared" ref="L38:L39" si="15">I38*(1+$B$10)</f>
        <v>123.60000000000001</v>
      </c>
      <c r="M38" s="25">
        <f t="shared" ref="M38:M39" si="16">ROUND((+K38*L38),0)</f>
        <v>4944</v>
      </c>
      <c r="N38" s="116" t="str">
        <f>IF(B11=1, "40", "20")</f>
        <v>40</v>
      </c>
      <c r="O38" s="16">
        <f t="shared" ref="O38:O39" si="17">L38*(1+$B$10)</f>
        <v>127.30800000000001</v>
      </c>
      <c r="P38" s="25">
        <f t="shared" ref="P38:P39" si="18">ROUND((+N38*O38),0)</f>
        <v>5092</v>
      </c>
      <c r="Q38" s="39">
        <f t="shared" ref="Q38:Q39" si="19">E38+H38+K38+N38</f>
        <v>120</v>
      </c>
      <c r="R38" s="17">
        <f>G38+J38+M38+P38</f>
        <v>14836</v>
      </c>
      <c r="S38" s="92"/>
    </row>
    <row r="39" spans="1:19" x14ac:dyDescent="0.3">
      <c r="A39" s="101" t="s">
        <v>109</v>
      </c>
      <c r="B39" s="102"/>
      <c r="C39" s="102" t="s">
        <v>141</v>
      </c>
      <c r="D39" s="103" t="s">
        <v>171</v>
      </c>
      <c r="E39" s="116">
        <v>0</v>
      </c>
      <c r="F39" s="16">
        <v>120</v>
      </c>
      <c r="G39" s="25">
        <f t="shared" si="12"/>
        <v>0</v>
      </c>
      <c r="H39" s="116" t="str">
        <f>IF(B11=1, "40", "20")</f>
        <v>40</v>
      </c>
      <c r="I39" s="16">
        <f t="shared" si="13"/>
        <v>120</v>
      </c>
      <c r="J39" s="16">
        <f t="shared" si="14"/>
        <v>4800</v>
      </c>
      <c r="K39" s="116" t="str">
        <f>IF(B11=1, "40", "20")</f>
        <v>40</v>
      </c>
      <c r="L39" s="16">
        <f t="shared" si="15"/>
        <v>123.60000000000001</v>
      </c>
      <c r="M39" s="25">
        <f t="shared" si="16"/>
        <v>4944</v>
      </c>
      <c r="N39" s="116" t="str">
        <f>IF(B11=1, "40", "20")</f>
        <v>40</v>
      </c>
      <c r="O39" s="16">
        <f t="shared" si="17"/>
        <v>127.30800000000001</v>
      </c>
      <c r="P39" s="25">
        <f t="shared" si="18"/>
        <v>5092</v>
      </c>
      <c r="Q39" s="39">
        <f t="shared" si="19"/>
        <v>120</v>
      </c>
      <c r="R39" s="17">
        <f>G39+J39+M39+P39</f>
        <v>14836</v>
      </c>
      <c r="S39" s="92"/>
    </row>
    <row r="40" spans="1:19" x14ac:dyDescent="0.3">
      <c r="A40" s="144" t="s">
        <v>160</v>
      </c>
      <c r="B40" s="1"/>
      <c r="C40" s="1"/>
      <c r="D40" s="63"/>
      <c r="E40" s="38"/>
      <c r="F40" s="16"/>
      <c r="G40" s="25"/>
      <c r="H40" s="39"/>
      <c r="I40" s="16"/>
      <c r="J40" s="25"/>
      <c r="K40" s="39"/>
      <c r="L40" s="16"/>
      <c r="M40" s="25"/>
      <c r="N40" s="39"/>
      <c r="O40" s="16"/>
      <c r="P40" s="25"/>
      <c r="Q40" s="39"/>
      <c r="R40" s="17"/>
      <c r="S40" s="92"/>
    </row>
    <row r="41" spans="1:19" x14ac:dyDescent="0.3">
      <c r="A41" s="101" t="s">
        <v>108</v>
      </c>
      <c r="B41" s="102"/>
      <c r="C41" s="102" t="s">
        <v>141</v>
      </c>
      <c r="D41" s="103" t="s">
        <v>171</v>
      </c>
      <c r="E41" s="116" t="str">
        <f>IF(B11=1, "0", "30")</f>
        <v>0</v>
      </c>
      <c r="F41" s="16">
        <v>120</v>
      </c>
      <c r="G41" s="25">
        <f t="shared" ref="G41:G42" si="20">ROUND((+E41*F41),0)</f>
        <v>0</v>
      </c>
      <c r="H41" s="116" t="str">
        <f>IF(B11=1, "0", "20")</f>
        <v>0</v>
      </c>
      <c r="I41" s="16">
        <f t="shared" ref="I41:I42" si="21">F41</f>
        <v>120</v>
      </c>
      <c r="J41" s="16">
        <f t="shared" ref="J41:J42" si="22">ROUND((+H41*I41),0)</f>
        <v>0</v>
      </c>
      <c r="K41" s="116" t="str">
        <f>IF(B11=1, "0", "20")</f>
        <v>0</v>
      </c>
      <c r="L41" s="16">
        <f t="shared" ref="L41:L42" si="23">I41*(1+$B$10)</f>
        <v>123.60000000000001</v>
      </c>
      <c r="M41" s="25">
        <f t="shared" ref="M41:M42" si="24">ROUND((+K41*L41),0)</f>
        <v>0</v>
      </c>
      <c r="N41" s="116" t="str">
        <f>IF(B11=1, "0", "20")</f>
        <v>0</v>
      </c>
      <c r="O41" s="16">
        <f t="shared" ref="O41:O42" si="25">L41*(1+$B$10)</f>
        <v>127.30800000000001</v>
      </c>
      <c r="P41" s="25">
        <f t="shared" ref="P41:P42" si="26">ROUND((+N41*O41),0)</f>
        <v>0</v>
      </c>
      <c r="Q41" s="39">
        <f t="shared" ref="Q41:Q42" si="27">E41+H41+K41+N41</f>
        <v>0</v>
      </c>
      <c r="R41" s="17">
        <f>G41+J41+M41+P41</f>
        <v>0</v>
      </c>
      <c r="S41" s="92"/>
    </row>
    <row r="42" spans="1:19" x14ac:dyDescent="0.3">
      <c r="A42" s="101" t="s">
        <v>109</v>
      </c>
      <c r="B42" s="102"/>
      <c r="C42" s="102" t="s">
        <v>141</v>
      </c>
      <c r="D42" s="103" t="s">
        <v>171</v>
      </c>
      <c r="E42" s="116" t="str">
        <f>IF(B11=1, "0", "30")</f>
        <v>0</v>
      </c>
      <c r="F42" s="16">
        <v>120</v>
      </c>
      <c r="G42" s="25">
        <f t="shared" si="20"/>
        <v>0</v>
      </c>
      <c r="H42" s="116" t="str">
        <f>IF(B11=1, "0", "20")</f>
        <v>0</v>
      </c>
      <c r="I42" s="16">
        <f t="shared" si="21"/>
        <v>120</v>
      </c>
      <c r="J42" s="16">
        <f t="shared" si="22"/>
        <v>0</v>
      </c>
      <c r="K42" s="116" t="str">
        <f>IF(B11=1, "0", "20")</f>
        <v>0</v>
      </c>
      <c r="L42" s="16">
        <f t="shared" si="23"/>
        <v>123.60000000000001</v>
      </c>
      <c r="M42" s="25">
        <f t="shared" si="24"/>
        <v>0</v>
      </c>
      <c r="N42" s="116" t="str">
        <f>IF(B11=1, "0", "20")</f>
        <v>0</v>
      </c>
      <c r="O42" s="16">
        <f t="shared" si="25"/>
        <v>127.30800000000001</v>
      </c>
      <c r="P42" s="25">
        <f t="shared" si="26"/>
        <v>0</v>
      </c>
      <c r="Q42" s="39">
        <f t="shared" si="27"/>
        <v>0</v>
      </c>
      <c r="R42" s="17">
        <f>G42+J42+M42+P42</f>
        <v>0</v>
      </c>
      <c r="S42" s="92"/>
    </row>
    <row r="43" spans="1:19" x14ac:dyDescent="0.3">
      <c r="A43" s="28" t="s">
        <v>142</v>
      </c>
      <c r="B43" s="1"/>
      <c r="C43" s="1" t="s">
        <v>143</v>
      </c>
      <c r="D43" s="63" t="s">
        <v>156</v>
      </c>
      <c r="E43" s="116">
        <v>0</v>
      </c>
      <c r="F43" s="16">
        <v>120</v>
      </c>
      <c r="G43" s="25">
        <f t="shared" ref="G43" si="28">ROUND((+E43*F43),0)</f>
        <v>0</v>
      </c>
      <c r="H43" s="116">
        <v>60</v>
      </c>
      <c r="I43" s="16">
        <f>F43</f>
        <v>120</v>
      </c>
      <c r="J43" s="16">
        <f t="shared" ref="J43" si="29">ROUND((+H43*I43),0)</f>
        <v>7200</v>
      </c>
      <c r="K43" s="116">
        <v>60</v>
      </c>
      <c r="L43" s="16">
        <f t="shared" ref="L43" si="30">I43*(1+$B$10)</f>
        <v>123.60000000000001</v>
      </c>
      <c r="M43" s="25">
        <f t="shared" ref="M43" si="31">ROUND((+K43*L43),0)</f>
        <v>7416</v>
      </c>
      <c r="N43" s="116">
        <v>60</v>
      </c>
      <c r="O43" s="16">
        <f t="shared" ref="O43" si="32">L43*(1+$B$10)</f>
        <v>127.30800000000001</v>
      </c>
      <c r="P43" s="25">
        <f t="shared" ref="P43" si="33">ROUND((+N43*O43),0)</f>
        <v>7638</v>
      </c>
      <c r="Q43" s="39">
        <f>E43+H43+K43+N43</f>
        <v>180</v>
      </c>
      <c r="R43" s="17">
        <f>G43+J43+M43+P43</f>
        <v>22254</v>
      </c>
      <c r="S43" s="92"/>
    </row>
    <row r="44" spans="1:19" x14ac:dyDescent="0.3">
      <c r="A44" s="95"/>
      <c r="B44" s="1"/>
      <c r="C44" s="1"/>
      <c r="D44" s="63"/>
      <c r="E44" s="38"/>
      <c r="F44" s="16"/>
      <c r="G44" s="25"/>
      <c r="H44" s="39"/>
      <c r="I44" s="16"/>
      <c r="J44" s="16"/>
      <c r="K44" s="37"/>
      <c r="L44" s="16"/>
      <c r="M44" s="25"/>
      <c r="N44" s="37"/>
      <c r="O44" s="16"/>
      <c r="P44" s="25"/>
      <c r="Q44" s="39"/>
      <c r="R44" s="17"/>
      <c r="S44" s="136"/>
    </row>
    <row r="45" spans="1:19" x14ac:dyDescent="0.3">
      <c r="A45" s="96" t="s">
        <v>161</v>
      </c>
      <c r="B45" s="3"/>
      <c r="C45" s="3"/>
      <c r="D45" s="65"/>
      <c r="E45" s="38"/>
      <c r="F45" s="17"/>
      <c r="G45" s="35">
        <f>SUM(G33:G44)</f>
        <v>0</v>
      </c>
      <c r="H45" s="70"/>
      <c r="I45" s="17"/>
      <c r="J45" s="17">
        <f>SUM(J33:J44)</f>
        <v>25960</v>
      </c>
      <c r="K45" s="38"/>
      <c r="L45" s="17"/>
      <c r="M45" s="35">
        <f>SUM(M33:M44)</f>
        <v>26740</v>
      </c>
      <c r="N45" s="38"/>
      <c r="O45" s="17"/>
      <c r="P45" s="35">
        <f>SUM(P33:P44)</f>
        <v>27541</v>
      </c>
      <c r="Q45" s="39"/>
      <c r="R45" s="17">
        <f>SUM(R33:R44)</f>
        <v>80241</v>
      </c>
      <c r="S45" s="136">
        <f>G45+J45+M45+P45</f>
        <v>80241</v>
      </c>
    </row>
    <row r="46" spans="1:19" x14ac:dyDescent="0.3">
      <c r="A46" s="48"/>
      <c r="B46" s="1"/>
      <c r="C46" s="1"/>
      <c r="D46" s="63"/>
      <c r="E46" s="38"/>
      <c r="F46" s="16"/>
      <c r="G46" s="25"/>
      <c r="H46" s="39"/>
      <c r="I46" s="16"/>
      <c r="J46" s="16"/>
      <c r="K46" s="37"/>
      <c r="L46" s="16"/>
      <c r="M46" s="25"/>
      <c r="N46" s="37" t="s">
        <v>4</v>
      </c>
      <c r="O46" s="16"/>
      <c r="P46" s="25"/>
      <c r="Q46" s="39"/>
      <c r="R46" s="17"/>
      <c r="S46" s="136"/>
    </row>
    <row r="47" spans="1:19" ht="16.2" thickBot="1" x14ac:dyDescent="0.35">
      <c r="A47" s="34" t="s">
        <v>10</v>
      </c>
      <c r="B47" s="12"/>
      <c r="C47" s="12"/>
      <c r="D47" s="64"/>
      <c r="E47" s="143"/>
      <c r="F47" s="19"/>
      <c r="G47" s="33">
        <f>G45+G30</f>
        <v>0</v>
      </c>
      <c r="H47" s="76"/>
      <c r="I47" s="23"/>
      <c r="J47" s="23">
        <f>J45+J30</f>
        <v>46460</v>
      </c>
      <c r="K47" s="75"/>
      <c r="L47" s="23"/>
      <c r="M47" s="33">
        <f>M45+M30</f>
        <v>47855</v>
      </c>
      <c r="N47" s="75" t="s">
        <v>4</v>
      </c>
      <c r="O47" s="23"/>
      <c r="P47" s="33">
        <f>P45+P30</f>
        <v>49289</v>
      </c>
      <c r="Q47" s="77"/>
      <c r="R47" s="33">
        <f>R45+R30</f>
        <v>143604</v>
      </c>
      <c r="S47" s="136">
        <f>G47+J47+M47+P47</f>
        <v>143604</v>
      </c>
    </row>
    <row r="48" spans="1:19" ht="16.2" thickTop="1" x14ac:dyDescent="0.3">
      <c r="A48" s="48"/>
      <c r="B48" s="1"/>
      <c r="C48" s="1"/>
      <c r="D48" s="63"/>
      <c r="E48" s="40"/>
      <c r="F48" s="16"/>
      <c r="G48" s="25"/>
      <c r="H48" s="36"/>
      <c r="I48" s="16"/>
      <c r="J48" s="16"/>
      <c r="K48" s="40"/>
      <c r="L48" s="16"/>
      <c r="M48" s="25"/>
      <c r="N48" s="40"/>
      <c r="O48" s="16"/>
      <c r="P48" s="25"/>
      <c r="Q48" s="20"/>
      <c r="R48" s="17"/>
      <c r="S48" s="136"/>
    </row>
    <row r="49" spans="1:21" x14ac:dyDescent="0.3">
      <c r="A49" s="30" t="s">
        <v>11</v>
      </c>
      <c r="B49" s="1"/>
      <c r="C49" s="1"/>
      <c r="D49" s="63"/>
      <c r="E49" s="40"/>
      <c r="F49" s="16"/>
      <c r="G49" s="25"/>
      <c r="H49" s="36"/>
      <c r="I49" s="16"/>
      <c r="J49" s="16" t="s">
        <v>4</v>
      </c>
      <c r="K49" s="40"/>
      <c r="L49" s="16"/>
      <c r="M49" s="25" t="s">
        <v>4</v>
      </c>
      <c r="N49" s="40"/>
      <c r="O49" s="16"/>
      <c r="P49" s="25" t="s">
        <v>4</v>
      </c>
      <c r="Q49" s="20"/>
      <c r="R49" s="17" t="s">
        <v>4</v>
      </c>
      <c r="S49" s="136"/>
    </row>
    <row r="50" spans="1:21" x14ac:dyDescent="0.3">
      <c r="A50" s="28" t="s">
        <v>151</v>
      </c>
      <c r="B50" s="1"/>
      <c r="C50" s="1"/>
      <c r="D50" s="63" t="s">
        <v>34</v>
      </c>
      <c r="E50" s="115">
        <v>0</v>
      </c>
      <c r="F50" s="16">
        <f>G30</f>
        <v>0</v>
      </c>
      <c r="G50" s="25">
        <f t="shared" ref="G50" si="34">ROUND((+E50*F50),0)</f>
        <v>0</v>
      </c>
      <c r="H50" s="15">
        <f>$B$7</f>
        <v>0.35</v>
      </c>
      <c r="I50" s="16">
        <f>J30</f>
        <v>20500</v>
      </c>
      <c r="J50" s="16">
        <f>ROUND((+H50*I50),0)</f>
        <v>7175</v>
      </c>
      <c r="K50" s="115">
        <f>$B$7</f>
        <v>0.35</v>
      </c>
      <c r="L50" s="16">
        <f>M30</f>
        <v>21115</v>
      </c>
      <c r="M50" s="25">
        <f>ROUND((+K50*L50),0)</f>
        <v>7390</v>
      </c>
      <c r="N50" s="115">
        <f>$B$7</f>
        <v>0.35</v>
      </c>
      <c r="O50" s="16">
        <f>P30</f>
        <v>21748</v>
      </c>
      <c r="P50" s="25">
        <f>ROUND((+N50*O50),0)</f>
        <v>7612</v>
      </c>
      <c r="Q50" s="21"/>
      <c r="R50" s="17">
        <f>G50+J50+M50+P50</f>
        <v>22177</v>
      </c>
      <c r="S50" s="136"/>
    </row>
    <row r="51" spans="1:21" x14ac:dyDescent="0.3">
      <c r="A51" s="28"/>
      <c r="B51" s="1"/>
      <c r="C51" s="1"/>
      <c r="D51" s="63"/>
      <c r="E51" s="40"/>
      <c r="F51" s="16"/>
      <c r="G51" s="25"/>
      <c r="H51" s="36"/>
      <c r="I51" s="16"/>
      <c r="J51" s="16"/>
      <c r="K51" s="40"/>
      <c r="L51" s="16"/>
      <c r="M51" s="25"/>
      <c r="N51" s="40"/>
      <c r="O51" s="16"/>
      <c r="P51" s="25"/>
      <c r="Q51" s="21"/>
      <c r="R51" s="17"/>
      <c r="S51" s="136"/>
    </row>
    <row r="52" spans="1:21" s="18" customFormat="1" ht="16.2" thickBot="1" x14ac:dyDescent="0.35">
      <c r="A52" s="34" t="s">
        <v>12</v>
      </c>
      <c r="B52" s="22"/>
      <c r="C52" s="22"/>
      <c r="D52" s="66"/>
      <c r="E52" s="51"/>
      <c r="F52" s="23"/>
      <c r="G52" s="33">
        <f>SUM(G50:G51)</f>
        <v>0</v>
      </c>
      <c r="H52" s="42"/>
      <c r="I52" s="23"/>
      <c r="J52" s="23">
        <f>SUM(J50:J51)</f>
        <v>7175</v>
      </c>
      <c r="K52" s="51"/>
      <c r="L52" s="23"/>
      <c r="M52" s="33">
        <f>SUM(M50:M51)</f>
        <v>7390</v>
      </c>
      <c r="N52" s="51"/>
      <c r="O52" s="23"/>
      <c r="P52" s="33">
        <f>SUM(P50:P51)</f>
        <v>7612</v>
      </c>
      <c r="Q52" s="22"/>
      <c r="R52" s="23">
        <f>SUM(R50:R51)</f>
        <v>22177</v>
      </c>
      <c r="S52" s="136">
        <f>G52+J52+M52+P52</f>
        <v>22177</v>
      </c>
    </row>
    <row r="53" spans="1:21" ht="16.2" thickTop="1" x14ac:dyDescent="0.3">
      <c r="A53" s="48"/>
      <c r="B53" s="1"/>
      <c r="C53" s="1"/>
      <c r="D53" s="63"/>
      <c r="E53" s="40"/>
      <c r="F53" s="16"/>
      <c r="G53" s="25"/>
      <c r="H53" s="36"/>
      <c r="I53" s="16"/>
      <c r="J53" s="16"/>
      <c r="K53" s="40"/>
      <c r="L53" s="16"/>
      <c r="M53" s="25"/>
      <c r="N53" s="40"/>
      <c r="O53" s="16"/>
      <c r="P53" s="25"/>
      <c r="Q53" s="3"/>
      <c r="R53" s="17"/>
      <c r="S53" s="136"/>
    </row>
    <row r="54" spans="1:21" x14ac:dyDescent="0.3">
      <c r="A54" s="30" t="s">
        <v>13</v>
      </c>
      <c r="B54" s="1"/>
      <c r="C54" s="1"/>
      <c r="D54" s="63"/>
      <c r="E54" s="40"/>
      <c r="F54" s="16"/>
      <c r="G54" s="25"/>
      <c r="H54" s="36"/>
      <c r="I54" s="16"/>
      <c r="J54" s="16"/>
      <c r="K54" s="40"/>
      <c r="L54" s="16"/>
      <c r="M54" s="25"/>
      <c r="N54" s="40"/>
      <c r="O54" s="16"/>
      <c r="P54" s="25"/>
      <c r="Q54" s="3"/>
      <c r="R54" s="17"/>
      <c r="S54" s="136"/>
    </row>
    <row r="55" spans="1:21" x14ac:dyDescent="0.3">
      <c r="A55" s="48"/>
      <c r="B55" s="1"/>
      <c r="C55" s="1"/>
      <c r="D55" s="63"/>
      <c r="E55" s="40"/>
      <c r="F55" s="16"/>
      <c r="G55" s="25"/>
      <c r="H55" s="36"/>
      <c r="I55" s="16"/>
      <c r="J55" s="16"/>
      <c r="K55" s="40"/>
      <c r="L55" s="16"/>
      <c r="M55" s="25"/>
      <c r="N55" s="40"/>
      <c r="O55" s="16"/>
      <c r="P55" s="25"/>
      <c r="Q55" s="27" t="s">
        <v>4</v>
      </c>
      <c r="R55" s="17"/>
      <c r="S55" s="136"/>
    </row>
    <row r="56" spans="1:21" x14ac:dyDescent="0.3">
      <c r="A56" s="30" t="s">
        <v>14</v>
      </c>
      <c r="B56" s="1"/>
      <c r="C56" s="1"/>
      <c r="D56" s="63"/>
      <c r="E56" s="40"/>
      <c r="F56" s="16"/>
      <c r="G56" s="25"/>
      <c r="H56" s="36"/>
      <c r="I56" s="16"/>
      <c r="J56" s="16"/>
      <c r="K56" s="40"/>
      <c r="L56" s="16"/>
      <c r="M56" s="25"/>
      <c r="N56" s="40"/>
      <c r="O56" s="16"/>
      <c r="P56" s="25"/>
      <c r="Q56" s="27" t="s">
        <v>4</v>
      </c>
      <c r="R56" s="17"/>
      <c r="S56" s="136"/>
    </row>
    <row r="57" spans="1:21" x14ac:dyDescent="0.3">
      <c r="A57" s="111" t="s">
        <v>77</v>
      </c>
      <c r="B57" s="15"/>
      <c r="C57" s="1"/>
      <c r="D57" s="63"/>
      <c r="E57" s="40"/>
      <c r="F57" s="16"/>
      <c r="G57" s="25"/>
      <c r="H57" s="36"/>
      <c r="I57" s="16"/>
      <c r="J57" s="16"/>
      <c r="K57" s="40"/>
      <c r="L57" s="16"/>
      <c r="M57" s="25"/>
      <c r="N57" s="40"/>
      <c r="O57" s="16"/>
      <c r="P57" s="25"/>
      <c r="Q57" s="26"/>
      <c r="R57" s="17"/>
      <c r="S57" s="137"/>
    </row>
    <row r="58" spans="1:21" x14ac:dyDescent="0.3">
      <c r="A58" s="101" t="s">
        <v>68</v>
      </c>
      <c r="B58" s="105"/>
      <c r="C58" s="102" t="s">
        <v>125</v>
      </c>
      <c r="D58" s="103" t="s">
        <v>35</v>
      </c>
      <c r="E58" s="140">
        <f>IF(B13="Yes",1,0)</f>
        <v>0</v>
      </c>
      <c r="F58" s="16">
        <v>2000</v>
      </c>
      <c r="G58" s="25">
        <f t="shared" ref="G58:G60" si="35">ROUND((+E58*F58),0)</f>
        <v>0</v>
      </c>
      <c r="H58" s="36">
        <v>0</v>
      </c>
      <c r="I58" s="16">
        <f>F58</f>
        <v>2000</v>
      </c>
      <c r="J58" s="16">
        <f t="shared" ref="J58:J60" si="36">ROUND((+H58*I58),0)</f>
        <v>0</v>
      </c>
      <c r="K58" s="40">
        <v>0</v>
      </c>
      <c r="L58" s="16">
        <f>I58*(1+$B$10)</f>
        <v>2060</v>
      </c>
      <c r="M58" s="25">
        <f t="shared" ref="M58:M60" si="37">ROUND((+K58*L58),0)</f>
        <v>0</v>
      </c>
      <c r="N58" s="40">
        <v>0</v>
      </c>
      <c r="O58" s="16">
        <f t="shared" ref="O58:O60" si="38">L58*(1+$B$10)</f>
        <v>2121.8000000000002</v>
      </c>
      <c r="P58" s="25">
        <f t="shared" ref="P58:P60" si="39">ROUND((+N58*O58),0)</f>
        <v>0</v>
      </c>
      <c r="Q58" s="39">
        <f>E58+H58+K58+N58</f>
        <v>0</v>
      </c>
      <c r="R58" s="17">
        <f>G58+J58+M58+P58</f>
        <v>0</v>
      </c>
      <c r="S58" s="137"/>
    </row>
    <row r="59" spans="1:21" x14ac:dyDescent="0.3">
      <c r="A59" s="101" t="s">
        <v>69</v>
      </c>
      <c r="B59" s="102"/>
      <c r="C59" s="102"/>
      <c r="D59" s="103" t="s">
        <v>171</v>
      </c>
      <c r="E59" s="114">
        <f>IF(B13="Yes",12,0)</f>
        <v>0</v>
      </c>
      <c r="F59" s="16">
        <v>250</v>
      </c>
      <c r="G59" s="25">
        <f t="shared" si="35"/>
        <v>0</v>
      </c>
      <c r="H59" s="36">
        <v>0</v>
      </c>
      <c r="I59" s="16">
        <f>F59</f>
        <v>250</v>
      </c>
      <c r="J59" s="16">
        <f t="shared" si="36"/>
        <v>0</v>
      </c>
      <c r="K59" s="40">
        <v>0</v>
      </c>
      <c r="L59" s="16">
        <f t="shared" ref="L59:L60" si="40">I59*(1+$B$10)</f>
        <v>257.5</v>
      </c>
      <c r="M59" s="25">
        <f t="shared" si="37"/>
        <v>0</v>
      </c>
      <c r="N59" s="40">
        <v>0</v>
      </c>
      <c r="O59" s="16">
        <f t="shared" si="38"/>
        <v>265.22500000000002</v>
      </c>
      <c r="P59" s="25">
        <f t="shared" si="39"/>
        <v>0</v>
      </c>
      <c r="Q59" s="39">
        <f>E59+H59+K59+N59</f>
        <v>0</v>
      </c>
      <c r="R59" s="17">
        <f>G59+J59+M59+P59</f>
        <v>0</v>
      </c>
      <c r="S59" s="136"/>
      <c r="T59" s="3"/>
      <c r="U59" s="1"/>
    </row>
    <row r="60" spans="1:21" x14ac:dyDescent="0.3">
      <c r="A60" s="101" t="s">
        <v>70</v>
      </c>
      <c r="B60" s="102"/>
      <c r="C60" s="102" t="s">
        <v>79</v>
      </c>
      <c r="D60" s="103" t="s">
        <v>35</v>
      </c>
      <c r="E60" s="114">
        <f>IF(B13="Yes",1,0)</f>
        <v>0</v>
      </c>
      <c r="F60" s="16">
        <v>450</v>
      </c>
      <c r="G60" s="25">
        <f t="shared" si="35"/>
        <v>0</v>
      </c>
      <c r="H60" s="36">
        <v>0</v>
      </c>
      <c r="I60" s="16">
        <f>F60</f>
        <v>450</v>
      </c>
      <c r="J60" s="16">
        <f t="shared" si="36"/>
        <v>0</v>
      </c>
      <c r="K60" s="40">
        <v>0</v>
      </c>
      <c r="L60" s="16">
        <f t="shared" si="40"/>
        <v>463.5</v>
      </c>
      <c r="M60" s="25">
        <f t="shared" si="37"/>
        <v>0</v>
      </c>
      <c r="N60" s="40">
        <v>0</v>
      </c>
      <c r="O60" s="16">
        <f t="shared" si="38"/>
        <v>477.40500000000003</v>
      </c>
      <c r="P60" s="25">
        <f t="shared" si="39"/>
        <v>0</v>
      </c>
      <c r="Q60" s="39">
        <f>E60+H60+K60+N60</f>
        <v>0</v>
      </c>
      <c r="R60" s="17">
        <f>G60+J60+M60+P60</f>
        <v>0</v>
      </c>
      <c r="S60" s="136"/>
      <c r="T60" s="3"/>
      <c r="U60" s="1"/>
    </row>
    <row r="61" spans="1:21" x14ac:dyDescent="0.3">
      <c r="A61" s="24" t="s">
        <v>63</v>
      </c>
      <c r="B61" s="15"/>
      <c r="C61" s="1"/>
      <c r="D61" s="63"/>
      <c r="E61" s="40"/>
      <c r="F61" s="16"/>
      <c r="G61" s="25"/>
      <c r="H61" s="36"/>
      <c r="I61" s="16"/>
      <c r="J61" s="16"/>
      <c r="K61" s="40"/>
      <c r="L61" s="16"/>
      <c r="M61" s="25"/>
      <c r="N61" s="40"/>
      <c r="O61" s="16"/>
      <c r="P61" s="25"/>
      <c r="Q61" s="39"/>
      <c r="R61" s="17"/>
      <c r="S61" s="137"/>
    </row>
    <row r="62" spans="1:21" x14ac:dyDescent="0.3">
      <c r="A62" s="28" t="s">
        <v>68</v>
      </c>
      <c r="B62" s="15"/>
      <c r="C62" s="1" t="s">
        <v>125</v>
      </c>
      <c r="D62" s="63" t="s">
        <v>34</v>
      </c>
      <c r="E62" s="40">
        <v>0</v>
      </c>
      <c r="F62" s="16">
        <v>2000</v>
      </c>
      <c r="G62" s="25">
        <f t="shared" ref="G62:G64" si="41">ROUND((+E62*F62),0)</f>
        <v>0</v>
      </c>
      <c r="H62" s="36">
        <v>0</v>
      </c>
      <c r="I62" s="16">
        <f>F62</f>
        <v>2000</v>
      </c>
      <c r="J62" s="16">
        <f t="shared" ref="J62:J64" si="42">ROUND((+H62*I62),0)</f>
        <v>0</v>
      </c>
      <c r="K62" s="40">
        <v>0</v>
      </c>
      <c r="L62" s="16">
        <f t="shared" ref="L62:L64" si="43">I62*(1+$B$10)</f>
        <v>2060</v>
      </c>
      <c r="M62" s="25">
        <f t="shared" ref="M62:M64" si="44">ROUND((+K62*L62),0)</f>
        <v>0</v>
      </c>
      <c r="N62" s="40">
        <v>1</v>
      </c>
      <c r="O62" s="16">
        <f t="shared" ref="O62:O64" si="45">L62*(1+$B$10)</f>
        <v>2121.8000000000002</v>
      </c>
      <c r="P62" s="25">
        <f t="shared" ref="P62:P64" si="46">ROUND((+N62*O62),0)</f>
        <v>2122</v>
      </c>
      <c r="Q62" s="39">
        <f>E62+H62+K62+N62</f>
        <v>1</v>
      </c>
      <c r="R62" s="17">
        <f>G62+J62+M62+P62</f>
        <v>2122</v>
      </c>
      <c r="S62" s="137"/>
    </row>
    <row r="63" spans="1:21" x14ac:dyDescent="0.3">
      <c r="A63" s="28" t="s">
        <v>69</v>
      </c>
      <c r="B63" s="1"/>
      <c r="C63" s="1"/>
      <c r="D63" s="63" t="s">
        <v>156</v>
      </c>
      <c r="E63" s="40">
        <v>0</v>
      </c>
      <c r="F63" s="16">
        <v>250</v>
      </c>
      <c r="G63" s="25">
        <f t="shared" si="41"/>
        <v>0</v>
      </c>
      <c r="H63" s="36">
        <v>0</v>
      </c>
      <c r="I63" s="16">
        <f>F63</f>
        <v>250</v>
      </c>
      <c r="J63" s="16">
        <f t="shared" si="42"/>
        <v>0</v>
      </c>
      <c r="K63" s="40">
        <v>0</v>
      </c>
      <c r="L63" s="16">
        <f t="shared" si="43"/>
        <v>257.5</v>
      </c>
      <c r="M63" s="25">
        <f t="shared" si="44"/>
        <v>0</v>
      </c>
      <c r="N63" s="40">
        <v>4</v>
      </c>
      <c r="O63" s="16">
        <f t="shared" si="45"/>
        <v>265.22500000000002</v>
      </c>
      <c r="P63" s="25">
        <f t="shared" si="46"/>
        <v>1061</v>
      </c>
      <c r="Q63" s="39">
        <f>E63+H63+K63+N63</f>
        <v>4</v>
      </c>
      <c r="R63" s="17">
        <f>G63+J63+M63+P63</f>
        <v>1061</v>
      </c>
      <c r="S63" s="136"/>
      <c r="T63" s="3"/>
      <c r="U63" s="1"/>
    </row>
    <row r="64" spans="1:21" x14ac:dyDescent="0.3">
      <c r="A64" s="28" t="s">
        <v>78</v>
      </c>
      <c r="B64" s="1"/>
      <c r="C64" s="1" t="s">
        <v>79</v>
      </c>
      <c r="D64" s="63" t="s">
        <v>34</v>
      </c>
      <c r="E64" s="40">
        <v>0</v>
      </c>
      <c r="F64" s="16">
        <v>450</v>
      </c>
      <c r="G64" s="25">
        <f t="shared" si="41"/>
        <v>0</v>
      </c>
      <c r="H64" s="36">
        <v>0</v>
      </c>
      <c r="I64" s="16">
        <f>F64</f>
        <v>450</v>
      </c>
      <c r="J64" s="16">
        <f t="shared" si="42"/>
        <v>0</v>
      </c>
      <c r="K64" s="40">
        <v>0</v>
      </c>
      <c r="L64" s="16">
        <f t="shared" si="43"/>
        <v>463.5</v>
      </c>
      <c r="M64" s="25">
        <f t="shared" si="44"/>
        <v>0</v>
      </c>
      <c r="N64" s="40">
        <v>1</v>
      </c>
      <c r="O64" s="16">
        <f t="shared" si="45"/>
        <v>477.40500000000003</v>
      </c>
      <c r="P64" s="25">
        <f t="shared" si="46"/>
        <v>477</v>
      </c>
      <c r="Q64" s="39">
        <f>E64+H64+K64+N64</f>
        <v>1</v>
      </c>
      <c r="R64" s="17">
        <f>G64+J64+M64+P64</f>
        <v>477</v>
      </c>
      <c r="S64" s="136"/>
      <c r="T64" s="3"/>
      <c r="U64" s="1"/>
    </row>
    <row r="65" spans="1:19" x14ac:dyDescent="0.3">
      <c r="A65" s="48"/>
      <c r="B65" s="1"/>
      <c r="C65" s="1"/>
      <c r="D65" s="63"/>
      <c r="E65" s="40"/>
      <c r="F65" s="16"/>
      <c r="G65" s="25"/>
      <c r="H65" s="36"/>
      <c r="I65" s="16"/>
      <c r="J65" s="16"/>
      <c r="K65" s="40"/>
      <c r="L65" s="16"/>
      <c r="M65" s="25"/>
      <c r="N65" s="40"/>
      <c r="O65" s="16"/>
      <c r="P65" s="25"/>
      <c r="Q65" s="39"/>
      <c r="R65" s="17"/>
      <c r="S65" s="136"/>
    </row>
    <row r="66" spans="1:19" s="18" customFormat="1" x14ac:dyDescent="0.3">
      <c r="A66" s="139" t="s">
        <v>15</v>
      </c>
      <c r="B66" s="3"/>
      <c r="C66" s="3"/>
      <c r="D66" s="65"/>
      <c r="E66" s="50"/>
      <c r="F66" s="17"/>
      <c r="G66" s="35">
        <f>SUM(G58:G65)</f>
        <v>0</v>
      </c>
      <c r="H66" s="41"/>
      <c r="I66" s="17"/>
      <c r="J66" s="17">
        <f>SUM(J58:J65)</f>
        <v>0</v>
      </c>
      <c r="K66" s="50"/>
      <c r="L66" s="17"/>
      <c r="M66" s="35">
        <f>SUM(M58:M65)</f>
        <v>0</v>
      </c>
      <c r="N66" s="50"/>
      <c r="O66" s="17"/>
      <c r="P66" s="35">
        <f>SUM(P58:P65)</f>
        <v>3660</v>
      </c>
      <c r="Q66" s="3"/>
      <c r="R66" s="17">
        <f>SUM(R58:R65)</f>
        <v>3660</v>
      </c>
      <c r="S66" s="136">
        <f>G66+J66+M66+P66</f>
        <v>3660</v>
      </c>
    </row>
    <row r="67" spans="1:19" x14ac:dyDescent="0.3">
      <c r="A67" s="48"/>
      <c r="B67" s="1"/>
      <c r="C67" s="1"/>
      <c r="D67" s="63"/>
      <c r="E67" s="40"/>
      <c r="F67" s="16"/>
      <c r="G67" s="56"/>
      <c r="H67" s="36"/>
      <c r="I67" s="16"/>
      <c r="J67" s="16"/>
      <c r="K67" s="40"/>
      <c r="L67" s="16"/>
      <c r="M67" s="25"/>
      <c r="N67" s="40"/>
      <c r="O67" s="16"/>
      <c r="P67" s="25"/>
      <c r="Q67" s="3"/>
      <c r="R67" s="47"/>
      <c r="S67" s="136"/>
    </row>
    <row r="68" spans="1:19" x14ac:dyDescent="0.3">
      <c r="A68" s="30" t="s">
        <v>100</v>
      </c>
      <c r="B68" s="1"/>
      <c r="C68" s="1"/>
      <c r="D68" s="63"/>
      <c r="E68" s="40"/>
      <c r="F68" s="16"/>
      <c r="G68" s="25"/>
      <c r="H68" s="36"/>
      <c r="I68" s="16"/>
      <c r="J68" s="16"/>
      <c r="K68" s="40"/>
      <c r="L68" s="16"/>
      <c r="M68" s="25"/>
      <c r="N68" s="40"/>
      <c r="O68" s="16"/>
      <c r="P68" s="25"/>
      <c r="Q68" s="27" t="s">
        <v>4</v>
      </c>
      <c r="R68" s="17"/>
      <c r="S68" s="136"/>
    </row>
    <row r="69" spans="1:19" x14ac:dyDescent="0.3">
      <c r="A69" s="97" t="s">
        <v>23</v>
      </c>
      <c r="B69" s="1"/>
      <c r="C69" s="1"/>
      <c r="D69" s="63"/>
      <c r="E69" s="40"/>
      <c r="F69" s="16"/>
      <c r="G69" s="25"/>
      <c r="H69" s="36"/>
      <c r="I69" s="16"/>
      <c r="J69" s="16"/>
      <c r="K69" s="40"/>
      <c r="L69" s="16"/>
      <c r="M69" s="25"/>
      <c r="N69" s="40"/>
      <c r="O69" s="16"/>
      <c r="P69" s="25"/>
      <c r="Q69" s="39"/>
      <c r="R69" s="17"/>
      <c r="S69" s="136"/>
    </row>
    <row r="70" spans="1:19" x14ac:dyDescent="0.3">
      <c r="A70" s="24" t="s">
        <v>82</v>
      </c>
      <c r="B70" s="1"/>
      <c r="C70" s="1"/>
      <c r="D70" s="63"/>
      <c r="E70" s="40"/>
      <c r="F70" s="16"/>
      <c r="G70" s="25"/>
      <c r="H70" s="36"/>
      <c r="I70" s="16"/>
      <c r="J70" s="16"/>
      <c r="K70" s="40"/>
      <c r="L70" s="16"/>
      <c r="M70" s="25"/>
      <c r="N70" s="40"/>
      <c r="O70" s="16"/>
      <c r="P70" s="25"/>
      <c r="Q70" s="27"/>
      <c r="R70" s="17"/>
      <c r="S70" s="136"/>
    </row>
    <row r="71" spans="1:19" x14ac:dyDescent="0.3">
      <c r="A71" s="101" t="s">
        <v>27</v>
      </c>
      <c r="B71" s="102"/>
      <c r="C71" s="102" t="s">
        <v>125</v>
      </c>
      <c r="D71" s="103" t="s">
        <v>171</v>
      </c>
      <c r="E71" s="40">
        <f>IF(B13="Yes",12,0)</f>
        <v>0</v>
      </c>
      <c r="F71" s="16">
        <v>50</v>
      </c>
      <c r="G71" s="25">
        <f t="shared" ref="G71" si="47">ROUND((+E71*F71),0)</f>
        <v>0</v>
      </c>
      <c r="H71" s="36">
        <v>0</v>
      </c>
      <c r="I71" s="16">
        <f>F71</f>
        <v>50</v>
      </c>
      <c r="J71" s="16">
        <f>ROUND((+H71*I71),0)</f>
        <v>0</v>
      </c>
      <c r="K71" s="40">
        <v>0</v>
      </c>
      <c r="L71" s="16">
        <f>I71*(1+$B$10)</f>
        <v>51.5</v>
      </c>
      <c r="M71" s="25">
        <f>ROUND((+K71*L71),0)</f>
        <v>0</v>
      </c>
      <c r="N71" s="40">
        <v>0</v>
      </c>
      <c r="O71" s="16">
        <f>L71*(1+$B$10)</f>
        <v>53.045000000000002</v>
      </c>
      <c r="P71" s="25">
        <f>ROUND((+N71*O71),0)</f>
        <v>0</v>
      </c>
      <c r="Q71" s="39">
        <f>E71+H71+K71+N71</f>
        <v>0</v>
      </c>
      <c r="R71" s="17">
        <f>G71+J71+M71+P71</f>
        <v>0</v>
      </c>
      <c r="S71" s="136"/>
    </row>
    <row r="72" spans="1:19" x14ac:dyDescent="0.3">
      <c r="A72" s="97" t="s">
        <v>22</v>
      </c>
      <c r="B72" s="1"/>
      <c r="C72" s="1"/>
      <c r="D72" s="63"/>
      <c r="E72" s="40"/>
      <c r="F72" s="16"/>
      <c r="G72" s="25"/>
      <c r="H72" s="36"/>
      <c r="I72" s="16"/>
      <c r="J72" s="16"/>
      <c r="K72" s="40"/>
      <c r="L72" s="16"/>
      <c r="M72" s="25"/>
      <c r="N72" s="40"/>
      <c r="O72" s="16"/>
      <c r="P72" s="25"/>
      <c r="Q72" s="27"/>
      <c r="R72" s="17"/>
      <c r="S72" s="136"/>
    </row>
    <row r="73" spans="1:19" x14ac:dyDescent="0.3">
      <c r="A73" s="24" t="s">
        <v>63</v>
      </c>
      <c r="B73" s="1"/>
      <c r="C73" s="1"/>
      <c r="D73" s="63"/>
      <c r="E73" s="40"/>
      <c r="F73" s="16"/>
      <c r="G73" s="25"/>
      <c r="H73" s="36"/>
      <c r="I73" s="16"/>
      <c r="J73" s="16"/>
      <c r="K73" s="40"/>
      <c r="L73" s="16"/>
      <c r="M73" s="25"/>
      <c r="N73" s="40"/>
      <c r="O73" s="16"/>
      <c r="P73" s="25"/>
      <c r="Q73" s="39"/>
      <c r="R73" s="17"/>
      <c r="S73" s="136"/>
    </row>
    <row r="74" spans="1:19" x14ac:dyDescent="0.3">
      <c r="A74" s="28" t="s">
        <v>27</v>
      </c>
      <c r="B74" s="1"/>
      <c r="C74" s="1" t="s">
        <v>125</v>
      </c>
      <c r="D74" s="63" t="s">
        <v>156</v>
      </c>
      <c r="E74" s="40">
        <v>0</v>
      </c>
      <c r="F74" s="16">
        <v>50</v>
      </c>
      <c r="G74" s="25">
        <f t="shared" ref="G74" si="48">ROUND((+E74*F74),0)</f>
        <v>0</v>
      </c>
      <c r="H74" s="36">
        <v>0</v>
      </c>
      <c r="I74" s="16">
        <f>F74</f>
        <v>50</v>
      </c>
      <c r="J74" s="16">
        <f>ROUND((+H74*I74),0)</f>
        <v>0</v>
      </c>
      <c r="K74" s="40">
        <v>0</v>
      </c>
      <c r="L74" s="16">
        <f>I74*(1+$B$10)</f>
        <v>51.5</v>
      </c>
      <c r="M74" s="25">
        <f>ROUND((+K74*L74),0)</f>
        <v>0</v>
      </c>
      <c r="N74" s="40">
        <v>4</v>
      </c>
      <c r="O74" s="16">
        <f>L74*(1+$B$10)</f>
        <v>53.045000000000002</v>
      </c>
      <c r="P74" s="25">
        <f>ROUND((+N74*O74),0)</f>
        <v>212</v>
      </c>
      <c r="Q74" s="39">
        <f>E74+H74+K74+N74</f>
        <v>4</v>
      </c>
      <c r="R74" s="17">
        <f>G74+J74+M74+P74</f>
        <v>212</v>
      </c>
      <c r="S74" s="136"/>
    </row>
    <row r="75" spans="1:19" x14ac:dyDescent="0.3">
      <c r="A75" s="48"/>
      <c r="B75" s="1"/>
      <c r="C75" s="1"/>
      <c r="D75" s="63"/>
      <c r="E75" s="40"/>
      <c r="F75" s="16"/>
      <c r="G75" s="25"/>
      <c r="H75" s="36"/>
      <c r="I75" s="16"/>
      <c r="J75" s="16"/>
      <c r="K75" s="40"/>
      <c r="L75" s="16"/>
      <c r="M75" s="25"/>
      <c r="N75" s="40"/>
      <c r="O75" s="16"/>
      <c r="P75" s="25"/>
      <c r="Q75" s="27"/>
      <c r="R75" s="17"/>
      <c r="S75" s="136"/>
    </row>
    <row r="76" spans="1:19" s="18" customFormat="1" x14ac:dyDescent="0.3">
      <c r="A76" s="96" t="s">
        <v>51</v>
      </c>
      <c r="B76" s="3"/>
      <c r="C76" s="3"/>
      <c r="D76" s="65"/>
      <c r="E76" s="50"/>
      <c r="F76" s="17"/>
      <c r="G76" s="35">
        <f>SUM(G71:G75)</f>
        <v>0</v>
      </c>
      <c r="H76" s="41"/>
      <c r="I76" s="17"/>
      <c r="J76" s="17">
        <f>SUM(J71:J75)</f>
        <v>0</v>
      </c>
      <c r="K76" s="50"/>
      <c r="L76" s="17"/>
      <c r="M76" s="35">
        <f>SUM(M71:M75)</f>
        <v>0</v>
      </c>
      <c r="N76" s="50"/>
      <c r="O76" s="17"/>
      <c r="P76" s="35">
        <f>SUM(P71:P75)</f>
        <v>212</v>
      </c>
      <c r="Q76" s="3"/>
      <c r="R76" s="17">
        <f>SUM(R71:R75)</f>
        <v>212</v>
      </c>
      <c r="S76" s="136">
        <f>G76+J76+M76+P76</f>
        <v>212</v>
      </c>
    </row>
    <row r="77" spans="1:19" x14ac:dyDescent="0.3">
      <c r="A77" s="48"/>
      <c r="B77" s="1"/>
      <c r="C77" s="1"/>
      <c r="D77" s="63"/>
      <c r="E77" s="40"/>
      <c r="F77" s="16"/>
      <c r="G77" s="25"/>
      <c r="H77" s="36"/>
      <c r="I77" s="16"/>
      <c r="J77" s="16"/>
      <c r="K77" s="40"/>
      <c r="L77" s="16"/>
      <c r="M77" s="25"/>
      <c r="N77" s="40"/>
      <c r="O77" s="16"/>
      <c r="P77" s="25"/>
      <c r="Q77" s="3"/>
      <c r="R77" s="17"/>
      <c r="S77" s="136"/>
    </row>
    <row r="78" spans="1:19" ht="16.2" thickBot="1" x14ac:dyDescent="0.35">
      <c r="A78" s="34" t="s">
        <v>47</v>
      </c>
      <c r="B78" s="22"/>
      <c r="C78" s="22"/>
      <c r="D78" s="66"/>
      <c r="E78" s="51"/>
      <c r="F78" s="23"/>
      <c r="G78" s="33">
        <f>G66+G76</f>
        <v>0</v>
      </c>
      <c r="H78" s="42"/>
      <c r="I78" s="23"/>
      <c r="J78" s="23">
        <f>J66+J76</f>
        <v>0</v>
      </c>
      <c r="K78" s="51"/>
      <c r="L78" s="23"/>
      <c r="M78" s="33">
        <f>M66+M76</f>
        <v>0</v>
      </c>
      <c r="N78" s="51"/>
      <c r="O78" s="23"/>
      <c r="P78" s="33">
        <f>P66+P76</f>
        <v>3872</v>
      </c>
      <c r="Q78" s="88"/>
      <c r="R78" s="23">
        <f>R66+R76</f>
        <v>3872</v>
      </c>
      <c r="S78" s="136">
        <f>G78+J78+M78+P78</f>
        <v>3872</v>
      </c>
    </row>
    <row r="79" spans="1:19" ht="16.2" thickTop="1" x14ac:dyDescent="0.3">
      <c r="A79" s="30"/>
      <c r="B79" s="3"/>
      <c r="C79" s="3"/>
      <c r="D79" s="65"/>
      <c r="E79" s="50"/>
      <c r="F79" s="17"/>
      <c r="G79" s="35"/>
      <c r="H79" s="41"/>
      <c r="I79" s="17"/>
      <c r="J79" s="17"/>
      <c r="K79" s="50"/>
      <c r="L79" s="17"/>
      <c r="M79" s="35"/>
      <c r="N79" s="50"/>
      <c r="O79" s="17"/>
      <c r="P79" s="35"/>
      <c r="Q79" s="3"/>
      <c r="R79" s="17"/>
      <c r="S79" s="136"/>
    </row>
    <row r="80" spans="1:19" x14ac:dyDescent="0.3">
      <c r="A80" s="30" t="s">
        <v>17</v>
      </c>
      <c r="B80" s="1"/>
      <c r="C80" s="1"/>
      <c r="D80" s="63"/>
      <c r="E80" s="40"/>
      <c r="F80" s="16"/>
      <c r="G80" s="25"/>
      <c r="H80" s="36"/>
      <c r="I80" s="16"/>
      <c r="J80" s="16"/>
      <c r="K80" s="40"/>
      <c r="L80" s="16"/>
      <c r="M80" s="25"/>
      <c r="N80" s="40"/>
      <c r="O80" s="16"/>
      <c r="P80" s="25"/>
      <c r="Q80" s="3"/>
      <c r="R80" s="17"/>
      <c r="S80" s="136"/>
    </row>
    <row r="81" spans="1:19" x14ac:dyDescent="0.3">
      <c r="A81" s="101" t="s">
        <v>66</v>
      </c>
      <c r="B81" s="102"/>
      <c r="C81" s="102" t="s">
        <v>61</v>
      </c>
      <c r="D81" s="103" t="s">
        <v>35</v>
      </c>
      <c r="E81" s="116">
        <v>0</v>
      </c>
      <c r="F81" s="16">
        <v>400</v>
      </c>
      <c r="G81" s="25">
        <f t="shared" ref="G81" si="49">ROUND((+E81*F81),0)</f>
        <v>0</v>
      </c>
      <c r="H81" s="36">
        <v>3</v>
      </c>
      <c r="I81" s="16">
        <f>F81</f>
        <v>400</v>
      </c>
      <c r="J81" s="16">
        <f>ROUND((+H81*I81),0)</f>
        <v>1200</v>
      </c>
      <c r="K81" s="40">
        <v>0</v>
      </c>
      <c r="L81" s="16">
        <f>I81*(1+$B$10)</f>
        <v>412</v>
      </c>
      <c r="M81" s="25">
        <f>ROUND((+K81*L81),0)</f>
        <v>0</v>
      </c>
      <c r="N81" s="40">
        <v>0</v>
      </c>
      <c r="O81" s="16">
        <f>L81*(1+$B$10)</f>
        <v>424.36</v>
      </c>
      <c r="P81" s="25">
        <f>ROUND((+N81*O81),0)</f>
        <v>0</v>
      </c>
      <c r="Q81" s="39">
        <f>E81+H81+K81+N81</f>
        <v>3</v>
      </c>
      <c r="R81" s="17">
        <f>G81+J81+M81+P81</f>
        <v>1200</v>
      </c>
      <c r="S81" s="136"/>
    </row>
    <row r="82" spans="1:19" x14ac:dyDescent="0.3">
      <c r="A82" s="101" t="s">
        <v>67</v>
      </c>
      <c r="B82" s="102"/>
      <c r="C82" s="102" t="s">
        <v>110</v>
      </c>
      <c r="D82" s="103" t="s">
        <v>35</v>
      </c>
      <c r="E82" s="116">
        <v>0</v>
      </c>
      <c r="F82" s="16">
        <v>400</v>
      </c>
      <c r="G82" s="25">
        <f t="shared" ref="G82" si="50">ROUND((+E82*F82),0)</f>
        <v>0</v>
      </c>
      <c r="H82" s="36">
        <v>3</v>
      </c>
      <c r="I82" s="16">
        <f>F82</f>
        <v>400</v>
      </c>
      <c r="J82" s="16">
        <f>ROUND((+H82*I82),0)</f>
        <v>1200</v>
      </c>
      <c r="K82" s="40">
        <v>0</v>
      </c>
      <c r="L82" s="16">
        <f>I82*(1+$B$10)</f>
        <v>412</v>
      </c>
      <c r="M82" s="25">
        <f>ROUND((+K82*L82),0)</f>
        <v>0</v>
      </c>
      <c r="N82" s="40">
        <v>0</v>
      </c>
      <c r="O82" s="16">
        <f>L82*(1+$B$10)</f>
        <v>424.36</v>
      </c>
      <c r="P82" s="25">
        <f>ROUND((+N82*O82),0)</f>
        <v>0</v>
      </c>
      <c r="Q82" s="39">
        <f>E82+H82+K82+N82</f>
        <v>3</v>
      </c>
      <c r="R82" s="17">
        <f>G82+J82+M82+P82</f>
        <v>1200</v>
      </c>
      <c r="S82" s="136"/>
    </row>
    <row r="83" spans="1:19" x14ac:dyDescent="0.3">
      <c r="A83" s="30"/>
      <c r="B83" s="3"/>
      <c r="C83" s="3"/>
      <c r="D83" s="65"/>
      <c r="E83" s="50"/>
      <c r="F83" s="17"/>
      <c r="G83" s="54"/>
      <c r="H83" s="41"/>
      <c r="I83" s="17"/>
      <c r="J83" s="29"/>
      <c r="K83" s="50"/>
      <c r="L83" s="17"/>
      <c r="M83" s="54"/>
      <c r="N83" s="50"/>
      <c r="O83" s="17"/>
      <c r="P83" s="54"/>
      <c r="Q83" s="3"/>
      <c r="R83" s="17" t="s">
        <v>4</v>
      </c>
      <c r="S83" s="136"/>
    </row>
    <row r="84" spans="1:19" ht="16.2" thickBot="1" x14ac:dyDescent="0.35">
      <c r="A84" s="34" t="s">
        <v>48</v>
      </c>
      <c r="B84" s="22"/>
      <c r="C84" s="22"/>
      <c r="D84" s="66"/>
      <c r="E84" s="51"/>
      <c r="F84" s="23"/>
      <c r="G84" s="33">
        <f>SUM(G81:G82)</f>
        <v>0</v>
      </c>
      <c r="H84" s="42"/>
      <c r="I84" s="23"/>
      <c r="J84" s="23">
        <f>SUM(J81:J82)</f>
        <v>2400</v>
      </c>
      <c r="K84" s="51"/>
      <c r="L84" s="23"/>
      <c r="M84" s="33">
        <f>SUM(M81:M82)</f>
        <v>0</v>
      </c>
      <c r="N84" s="51"/>
      <c r="O84" s="23"/>
      <c r="P84" s="33">
        <f>SUM(P81:P82)</f>
        <v>0</v>
      </c>
      <c r="Q84" s="22"/>
      <c r="R84" s="23">
        <f>SUM(R81:R82)</f>
        <v>2400</v>
      </c>
      <c r="S84" s="136">
        <f>G84+J84+M84+P84</f>
        <v>2400</v>
      </c>
    </row>
    <row r="85" spans="1:19" ht="16.2" thickTop="1" x14ac:dyDescent="0.3">
      <c r="A85" s="48"/>
      <c r="B85" s="1"/>
      <c r="C85" s="1"/>
      <c r="D85" s="63"/>
      <c r="E85" s="40"/>
      <c r="F85" s="16"/>
      <c r="G85" s="25"/>
      <c r="H85" s="36"/>
      <c r="I85" s="16"/>
      <c r="J85" s="83"/>
      <c r="K85" s="40"/>
      <c r="L85" s="16"/>
      <c r="M85" s="55"/>
      <c r="N85" s="40"/>
      <c r="O85" s="16"/>
      <c r="P85" s="55"/>
      <c r="Q85" s="3"/>
      <c r="R85" s="17"/>
      <c r="S85" s="136"/>
    </row>
    <row r="86" spans="1:19" x14ac:dyDescent="0.3">
      <c r="A86" s="30" t="s">
        <v>18</v>
      </c>
      <c r="B86" s="1"/>
      <c r="C86" s="1"/>
      <c r="D86" s="63"/>
      <c r="E86" s="40"/>
      <c r="F86" s="16"/>
      <c r="G86" s="25"/>
      <c r="H86" s="36"/>
      <c r="I86" s="16"/>
      <c r="J86" s="16"/>
      <c r="K86" s="40"/>
      <c r="L86" s="16"/>
      <c r="M86" s="25"/>
      <c r="N86" s="40"/>
      <c r="O86" s="16"/>
      <c r="P86" s="25"/>
      <c r="Q86" s="3"/>
      <c r="R86" s="17"/>
      <c r="S86" s="136"/>
    </row>
    <row r="87" spans="1:19" x14ac:dyDescent="0.3">
      <c r="A87" s="101" t="s">
        <v>126</v>
      </c>
      <c r="B87" s="105"/>
      <c r="C87" s="102" t="s">
        <v>127</v>
      </c>
      <c r="D87" s="103" t="s">
        <v>172</v>
      </c>
      <c r="E87" s="116">
        <v>0</v>
      </c>
      <c r="F87" s="16">
        <v>60</v>
      </c>
      <c r="G87" s="25">
        <f>ROUND((+E87*F87),0)</f>
        <v>0</v>
      </c>
      <c r="H87" s="116">
        <f>IF(B11=1, 2+1+2, 4+1+2)</f>
        <v>5</v>
      </c>
      <c r="I87" s="16">
        <f>F87</f>
        <v>60</v>
      </c>
      <c r="J87" s="16">
        <f>ROUND((+H87*I87),0)</f>
        <v>300</v>
      </c>
      <c r="K87" s="116">
        <f>IF(B11=1, 2+1+2, 4+1+2)</f>
        <v>5</v>
      </c>
      <c r="L87" s="16">
        <f>I87*(1+$B$10)</f>
        <v>61.800000000000004</v>
      </c>
      <c r="M87" s="25">
        <f>ROUND((+K87*L87),0)</f>
        <v>309</v>
      </c>
      <c r="N87" s="116">
        <f>IF(B11=1, 2+1+2, 4+1+2)</f>
        <v>5</v>
      </c>
      <c r="O87" s="16">
        <f>L87*(1+$B$10)</f>
        <v>63.654000000000003</v>
      </c>
      <c r="P87" s="25">
        <f>ROUND((+N87*O87),0)</f>
        <v>318</v>
      </c>
      <c r="Q87" s="70">
        <f>E87+H87+K87+N87</f>
        <v>15</v>
      </c>
      <c r="R87" s="17">
        <f>G87+J87+M87+P87</f>
        <v>927</v>
      </c>
      <c r="S87" s="136"/>
    </row>
    <row r="88" spans="1:19" x14ac:dyDescent="0.3">
      <c r="A88" s="30"/>
      <c r="B88" s="1"/>
      <c r="C88" s="1"/>
      <c r="D88" s="63"/>
      <c r="E88" s="40"/>
      <c r="F88" s="16"/>
      <c r="G88" s="25"/>
      <c r="H88" s="36"/>
      <c r="I88" s="16"/>
      <c r="J88" s="16"/>
      <c r="K88" s="40"/>
      <c r="L88" s="16"/>
      <c r="M88" s="25"/>
      <c r="N88" s="40"/>
      <c r="O88" s="16"/>
      <c r="P88" s="25"/>
      <c r="Q88" s="3"/>
      <c r="R88" s="17"/>
      <c r="S88" s="162"/>
    </row>
    <row r="89" spans="1:19" s="18" customFormat="1" ht="16.2" thickBot="1" x14ac:dyDescent="0.35">
      <c r="A89" s="34" t="s">
        <v>49</v>
      </c>
      <c r="B89" s="22"/>
      <c r="C89" s="22"/>
      <c r="D89" s="66"/>
      <c r="E89" s="51"/>
      <c r="F89" s="23"/>
      <c r="G89" s="33">
        <f>G87</f>
        <v>0</v>
      </c>
      <c r="H89" s="42"/>
      <c r="I89" s="23"/>
      <c r="J89" s="23">
        <f>J87</f>
        <v>300</v>
      </c>
      <c r="K89" s="51"/>
      <c r="L89" s="23"/>
      <c r="M89" s="33">
        <f>M87</f>
        <v>309</v>
      </c>
      <c r="N89" s="51"/>
      <c r="O89" s="23"/>
      <c r="P89" s="33">
        <f>P87</f>
        <v>318</v>
      </c>
      <c r="Q89" s="22"/>
      <c r="R89" s="23">
        <f>R87</f>
        <v>927</v>
      </c>
      <c r="S89" s="136">
        <f>G89+J89+M89+P89</f>
        <v>927</v>
      </c>
    </row>
    <row r="90" spans="1:19" ht="16.2" thickTop="1" x14ac:dyDescent="0.3">
      <c r="A90" s="30"/>
      <c r="B90" s="3"/>
      <c r="C90" s="3"/>
      <c r="D90" s="65"/>
      <c r="E90" s="40"/>
      <c r="F90" s="16"/>
      <c r="G90" s="25"/>
      <c r="K90" s="52"/>
      <c r="M90" s="57"/>
      <c r="N90" s="52"/>
      <c r="P90" s="57"/>
      <c r="Q90" s="3"/>
      <c r="R90" s="17"/>
      <c r="S90" s="136"/>
    </row>
    <row r="91" spans="1:19" s="18" customFormat="1" x14ac:dyDescent="0.3">
      <c r="A91" s="30" t="s">
        <v>19</v>
      </c>
      <c r="B91" s="3"/>
      <c r="C91" s="3"/>
      <c r="D91" s="65"/>
      <c r="E91" s="40"/>
      <c r="F91" s="16"/>
      <c r="G91" s="25"/>
      <c r="H91" s="43"/>
      <c r="I91" s="5"/>
      <c r="J91" s="5"/>
      <c r="K91" s="52"/>
      <c r="L91" s="5"/>
      <c r="M91" s="57"/>
      <c r="N91" s="52"/>
      <c r="O91" s="5"/>
      <c r="P91" s="57"/>
      <c r="Q91" s="3"/>
      <c r="S91" s="136"/>
    </row>
    <row r="92" spans="1:19" x14ac:dyDescent="0.3">
      <c r="A92" s="48"/>
      <c r="B92" s="1"/>
      <c r="C92" s="1"/>
      <c r="D92" s="63"/>
      <c r="E92" s="40"/>
      <c r="F92" s="16"/>
      <c r="G92" s="25"/>
      <c r="H92" s="36"/>
      <c r="I92" s="16"/>
      <c r="J92" s="16"/>
      <c r="K92" s="40"/>
      <c r="L92" s="16"/>
      <c r="M92" s="25"/>
      <c r="N92" s="40"/>
      <c r="O92" s="16"/>
      <c r="P92" s="25"/>
      <c r="Q92" s="3"/>
      <c r="R92" s="17"/>
      <c r="S92" s="136"/>
    </row>
    <row r="93" spans="1:19" x14ac:dyDescent="0.3">
      <c r="A93" s="97" t="s">
        <v>22</v>
      </c>
      <c r="B93" s="15"/>
      <c r="C93" s="1"/>
      <c r="D93" s="63"/>
      <c r="E93" s="40"/>
      <c r="F93" s="16"/>
      <c r="G93" s="25"/>
      <c r="H93" s="36"/>
      <c r="I93" s="16"/>
      <c r="J93" s="16"/>
      <c r="K93" s="40"/>
      <c r="L93" s="16"/>
      <c r="M93" s="25"/>
      <c r="N93" s="40"/>
      <c r="O93" s="16"/>
      <c r="P93" s="25"/>
      <c r="Q93" s="26"/>
      <c r="R93" s="17"/>
      <c r="S93" s="136"/>
    </row>
    <row r="94" spans="1:19" x14ac:dyDescent="0.3">
      <c r="A94" s="90" t="s">
        <v>56</v>
      </c>
      <c r="B94" s="15"/>
      <c r="C94" s="1" t="s">
        <v>128</v>
      </c>
      <c r="D94" s="63" t="s">
        <v>34</v>
      </c>
      <c r="E94" s="40">
        <v>0</v>
      </c>
      <c r="F94" s="16">
        <v>500</v>
      </c>
      <c r="G94" s="25">
        <f t="shared" ref="G94" si="51">ROUND((+E94*F94),0)</f>
        <v>0</v>
      </c>
      <c r="H94" s="36">
        <v>1</v>
      </c>
      <c r="I94" s="16">
        <f>F94</f>
        <v>500</v>
      </c>
      <c r="J94" s="16">
        <f>ROUND((+H94*I94),0)</f>
        <v>500</v>
      </c>
      <c r="K94" s="40">
        <v>1</v>
      </c>
      <c r="L94" s="16">
        <f>I94*(1+$B$10)</f>
        <v>515</v>
      </c>
      <c r="M94" s="25">
        <f>ROUND((+K94*L94),0)</f>
        <v>515</v>
      </c>
      <c r="N94" s="40">
        <v>1</v>
      </c>
      <c r="O94" s="16">
        <f>L94*(1+$B$10)</f>
        <v>530.45000000000005</v>
      </c>
      <c r="P94" s="25">
        <f>ROUND((+N94*O94),0)</f>
        <v>530</v>
      </c>
      <c r="Q94" s="39">
        <f>E94+H94+K94+N94</f>
        <v>3</v>
      </c>
      <c r="R94" s="17">
        <f>G94+J94+M94+P94</f>
        <v>1545</v>
      </c>
      <c r="S94" s="136"/>
    </row>
    <row r="95" spans="1:19" x14ac:dyDescent="0.3">
      <c r="A95" s="90" t="s">
        <v>80</v>
      </c>
      <c r="B95" s="1"/>
      <c r="C95" s="1"/>
      <c r="D95" s="63"/>
      <c r="E95" s="40"/>
      <c r="F95" s="16"/>
      <c r="G95" s="25"/>
      <c r="H95" s="36"/>
      <c r="I95" s="16"/>
      <c r="J95" s="16"/>
      <c r="K95" s="40"/>
      <c r="L95" s="16"/>
      <c r="M95" s="25"/>
      <c r="N95" s="40"/>
      <c r="O95" s="16"/>
      <c r="P95" s="25"/>
      <c r="Q95" s="39"/>
      <c r="R95" s="17"/>
      <c r="S95" s="136"/>
    </row>
    <row r="96" spans="1:19" x14ac:dyDescent="0.3">
      <c r="A96" s="28" t="s">
        <v>80</v>
      </c>
      <c r="B96" s="1"/>
      <c r="C96" s="1" t="s">
        <v>129</v>
      </c>
      <c r="D96" s="63" t="s">
        <v>173</v>
      </c>
      <c r="E96" s="40">
        <v>0</v>
      </c>
      <c r="F96" s="16">
        <v>200</v>
      </c>
      <c r="G96" s="25">
        <f>ROUND((+E96*F96),0)</f>
        <v>0</v>
      </c>
      <c r="H96" s="40">
        <v>2</v>
      </c>
      <c r="I96" s="16">
        <v>200</v>
      </c>
      <c r="J96" s="25">
        <f t="shared" ref="J96" si="52">ROUND((+H96*I96),0)</f>
        <v>400</v>
      </c>
      <c r="K96" s="40">
        <v>2</v>
      </c>
      <c r="L96" s="16">
        <f t="shared" ref="L96" si="53">I96*(1+$B$10)</f>
        <v>206</v>
      </c>
      <c r="M96" s="25">
        <f t="shared" ref="M96" si="54">ROUND((+K96*L96),0)</f>
        <v>412</v>
      </c>
      <c r="N96" s="40">
        <v>2</v>
      </c>
      <c r="O96" s="16">
        <f>L96*(1+$B$10)</f>
        <v>212.18</v>
      </c>
      <c r="P96" s="25">
        <f t="shared" ref="P96" si="55">ROUND((+N96*O96),0)</f>
        <v>424</v>
      </c>
      <c r="Q96" s="39"/>
      <c r="R96" s="17">
        <f>G96+J96+M96+P96</f>
        <v>1236</v>
      </c>
      <c r="S96" s="136"/>
    </row>
    <row r="97" spans="1:19" x14ac:dyDescent="0.3">
      <c r="A97" s="90" t="s">
        <v>81</v>
      </c>
      <c r="B97" s="1"/>
      <c r="C97" s="1"/>
      <c r="D97" s="63"/>
      <c r="E97" s="40"/>
      <c r="F97" s="16"/>
      <c r="G97" s="25"/>
      <c r="H97" s="36"/>
      <c r="I97" s="16"/>
      <c r="J97" s="16"/>
      <c r="K97" s="40"/>
      <c r="L97" s="16"/>
      <c r="M97" s="25"/>
      <c r="N97" s="40"/>
      <c r="O97" s="16"/>
      <c r="P97" s="25"/>
      <c r="Q97" s="112"/>
      <c r="R97" s="17"/>
      <c r="S97" s="136"/>
    </row>
    <row r="98" spans="1:19" x14ac:dyDescent="0.3">
      <c r="A98" s="101" t="s">
        <v>131</v>
      </c>
      <c r="B98" s="102"/>
      <c r="C98" s="102"/>
      <c r="D98" s="103" t="s">
        <v>176</v>
      </c>
      <c r="E98" s="116" t="str">
        <f>IF(B15="Yes", "1", "0")</f>
        <v>0</v>
      </c>
      <c r="F98" s="129">
        <v>2000</v>
      </c>
      <c r="G98" s="128">
        <f t="shared" ref="G98" si="56">ROUND((+E98*F98),0)</f>
        <v>0</v>
      </c>
      <c r="H98" s="116" t="str">
        <f>IF(B15="Yes", "1", "0")</f>
        <v>0</v>
      </c>
      <c r="I98" s="129">
        <f>F98</f>
        <v>2000</v>
      </c>
      <c r="J98" s="129">
        <f>ROUND((+H98*I98),0)</f>
        <v>0</v>
      </c>
      <c r="K98" s="116" t="str">
        <f>IF(B15="Yes", "1", "0")</f>
        <v>0</v>
      </c>
      <c r="L98" s="129">
        <f>I98*(1+$B$10)</f>
        <v>2060</v>
      </c>
      <c r="M98" s="128">
        <f>ROUND((+K98*L98),0)</f>
        <v>0</v>
      </c>
      <c r="N98" s="116" t="str">
        <f>IF(B15="Yes", "1", "0")</f>
        <v>0</v>
      </c>
      <c r="O98" s="16">
        <f>L98*(1+$B$10)</f>
        <v>2121.8000000000002</v>
      </c>
      <c r="P98" s="25">
        <f>ROUND((+N98*O98),0)</f>
        <v>0</v>
      </c>
      <c r="Q98" s="39">
        <f>E98+H98+K98+N98</f>
        <v>0</v>
      </c>
      <c r="R98" s="17">
        <f>G98+J98+M98+P98</f>
        <v>0</v>
      </c>
      <c r="S98" s="136"/>
    </row>
    <row r="99" spans="1:19" ht="13.5" customHeight="1" x14ac:dyDescent="0.3">
      <c r="A99" s="90" t="s">
        <v>39</v>
      </c>
      <c r="B99" s="15"/>
      <c r="C99" s="1"/>
      <c r="D99" s="63"/>
      <c r="E99" s="40"/>
      <c r="F99" s="16"/>
      <c r="G99" s="25"/>
      <c r="H99" s="36"/>
      <c r="I99" s="16"/>
      <c r="J99" s="16"/>
      <c r="K99" s="40"/>
      <c r="L99" s="16"/>
      <c r="M99" s="25">
        <f>ROUND((+K99*L99),0)</f>
        <v>0</v>
      </c>
      <c r="N99" s="40"/>
      <c r="O99" s="16"/>
      <c r="P99" s="25"/>
      <c r="Q99" s="39"/>
      <c r="R99" s="17"/>
      <c r="S99" s="136"/>
    </row>
    <row r="100" spans="1:19" x14ac:dyDescent="0.3">
      <c r="A100" s="28" t="s">
        <v>64</v>
      </c>
      <c r="B100" s="15"/>
      <c r="C100" s="1" t="s">
        <v>132</v>
      </c>
      <c r="D100" s="63" t="s">
        <v>34</v>
      </c>
      <c r="E100" s="40">
        <v>0</v>
      </c>
      <c r="F100" s="16">
        <v>3000</v>
      </c>
      <c r="G100" s="25">
        <f t="shared" ref="G100:G101" si="57">ROUND((+E100*F100),0)</f>
        <v>0</v>
      </c>
      <c r="H100" s="36">
        <v>0</v>
      </c>
      <c r="I100" s="16">
        <f>F100</f>
        <v>3000</v>
      </c>
      <c r="J100" s="16">
        <f t="shared" ref="J100:J101" si="58">ROUND((+H100*I100),0)</f>
        <v>0</v>
      </c>
      <c r="K100" s="40">
        <v>0</v>
      </c>
      <c r="L100" s="16">
        <f t="shared" ref="L100:L101" si="59">I100*(1+$B$10)</f>
        <v>3090</v>
      </c>
      <c r="M100" s="25">
        <f t="shared" ref="M100:M101" si="60">ROUND((+K100*L100),0)</f>
        <v>0</v>
      </c>
      <c r="N100" s="40">
        <v>1</v>
      </c>
      <c r="O100" s="16">
        <f t="shared" ref="O100:O101" si="61">L100*(1+$B$10)</f>
        <v>3182.7000000000003</v>
      </c>
      <c r="P100" s="25">
        <f t="shared" ref="P100:P101" si="62">ROUND((+N100*O100),0)</f>
        <v>3183</v>
      </c>
      <c r="Q100" s="39">
        <f>E100+H100+K100+N100</f>
        <v>1</v>
      </c>
      <c r="R100" s="17">
        <f>G100+J100+M100+P100</f>
        <v>3183</v>
      </c>
      <c r="S100" s="136"/>
    </row>
    <row r="101" spans="1:19" x14ac:dyDescent="0.3">
      <c r="A101" s="28" t="s">
        <v>20</v>
      </c>
      <c r="B101" s="1"/>
      <c r="C101" s="1" t="s">
        <v>133</v>
      </c>
      <c r="D101" s="63" t="s">
        <v>34</v>
      </c>
      <c r="E101" s="40">
        <v>0</v>
      </c>
      <c r="F101" s="16">
        <v>2500</v>
      </c>
      <c r="G101" s="25">
        <f t="shared" si="57"/>
        <v>0</v>
      </c>
      <c r="H101" s="36">
        <v>0</v>
      </c>
      <c r="I101" s="16">
        <f>F101</f>
        <v>2500</v>
      </c>
      <c r="J101" s="16">
        <f t="shared" si="58"/>
        <v>0</v>
      </c>
      <c r="K101" s="40">
        <v>0</v>
      </c>
      <c r="L101" s="16">
        <f t="shared" si="59"/>
        <v>2575</v>
      </c>
      <c r="M101" s="25">
        <f t="shared" si="60"/>
        <v>0</v>
      </c>
      <c r="N101" s="40">
        <v>1</v>
      </c>
      <c r="O101" s="16">
        <f t="shared" si="61"/>
        <v>2652.25</v>
      </c>
      <c r="P101" s="25">
        <f t="shared" si="62"/>
        <v>2652</v>
      </c>
      <c r="Q101" s="39">
        <f>E101+H101+K101+N101</f>
        <v>1</v>
      </c>
      <c r="R101" s="17">
        <f>G101+J101+M101+P101</f>
        <v>2652</v>
      </c>
      <c r="S101" s="136"/>
    </row>
    <row r="102" spans="1:19" x14ac:dyDescent="0.3">
      <c r="A102" s="28"/>
      <c r="B102" s="1"/>
      <c r="C102" s="1"/>
      <c r="D102" s="63"/>
      <c r="E102" s="40"/>
      <c r="F102" s="16"/>
      <c r="G102" s="25"/>
      <c r="H102" s="36"/>
      <c r="I102" s="16"/>
      <c r="J102" s="16"/>
      <c r="K102" s="40"/>
      <c r="L102" s="16"/>
      <c r="M102" s="25"/>
      <c r="N102" s="40"/>
      <c r="O102" s="16"/>
      <c r="P102" s="25"/>
      <c r="Q102" s="39"/>
      <c r="R102" s="17"/>
      <c r="S102" s="136"/>
    </row>
    <row r="103" spans="1:19" x14ac:dyDescent="0.3">
      <c r="A103" s="96" t="s">
        <v>93</v>
      </c>
      <c r="B103" s="3"/>
      <c r="C103" s="3"/>
      <c r="D103" s="65"/>
      <c r="E103" s="50"/>
      <c r="F103" s="17"/>
      <c r="G103" s="35">
        <f>SUM(G94:G102)</f>
        <v>0</v>
      </c>
      <c r="H103" s="41"/>
      <c r="I103" s="17"/>
      <c r="J103" s="17">
        <f>SUM(J94:J102)</f>
        <v>900</v>
      </c>
      <c r="K103" s="50"/>
      <c r="L103" s="17"/>
      <c r="M103" s="35">
        <f>SUM(M94:M102)</f>
        <v>927</v>
      </c>
      <c r="N103" s="50"/>
      <c r="O103" s="17"/>
      <c r="P103" s="35">
        <f>SUM(P94:P102)</f>
        <v>6789</v>
      </c>
      <c r="Q103" s="39"/>
      <c r="R103" s="17">
        <f>G103+J103+M103+P103</f>
        <v>8616</v>
      </c>
      <c r="S103" s="136">
        <f>SUM(R94:R101)</f>
        <v>8616</v>
      </c>
    </row>
    <row r="104" spans="1:19" x14ac:dyDescent="0.3">
      <c r="A104" s="30"/>
      <c r="B104" s="3"/>
      <c r="C104" s="3"/>
      <c r="D104" s="65"/>
      <c r="E104" s="50"/>
      <c r="F104" s="17"/>
      <c r="G104" s="35"/>
      <c r="H104" s="41"/>
      <c r="I104" s="17"/>
      <c r="J104" s="17"/>
      <c r="K104" s="50"/>
      <c r="L104" s="17"/>
      <c r="M104" s="35"/>
      <c r="N104" s="50"/>
      <c r="O104" s="17"/>
      <c r="P104" s="35"/>
      <c r="Q104" s="39"/>
      <c r="R104" s="17"/>
      <c r="S104" s="136"/>
    </row>
    <row r="105" spans="1:19" x14ac:dyDescent="0.3">
      <c r="A105" s="97" t="s">
        <v>23</v>
      </c>
      <c r="B105" s="15"/>
      <c r="C105" s="1" t="s">
        <v>135</v>
      </c>
      <c r="D105" s="63"/>
      <c r="E105" s="40"/>
      <c r="F105" s="16"/>
      <c r="G105" s="25"/>
      <c r="H105" s="36"/>
      <c r="I105" s="16"/>
      <c r="J105" s="16"/>
      <c r="K105" s="40"/>
      <c r="L105" s="16"/>
      <c r="M105" s="25"/>
      <c r="N105" s="40"/>
      <c r="O105" s="16"/>
      <c r="P105" s="25"/>
      <c r="Q105" s="39"/>
      <c r="R105" s="17"/>
      <c r="S105" s="136"/>
    </row>
    <row r="106" spans="1:19" x14ac:dyDescent="0.3">
      <c r="A106" s="90" t="s">
        <v>29</v>
      </c>
      <c r="B106" s="15"/>
      <c r="C106" s="1"/>
      <c r="D106" s="63"/>
      <c r="E106" s="40"/>
      <c r="F106" s="16"/>
      <c r="G106" s="25"/>
      <c r="H106" s="36"/>
      <c r="I106" s="16"/>
      <c r="J106" s="16"/>
      <c r="K106" s="40"/>
      <c r="L106" s="16"/>
      <c r="M106" s="25"/>
      <c r="N106" s="40"/>
      <c r="O106" s="16"/>
      <c r="P106" s="25"/>
      <c r="Q106" s="39"/>
      <c r="R106" s="17"/>
      <c r="S106" s="136"/>
    </row>
    <row r="107" spans="1:19" x14ac:dyDescent="0.3">
      <c r="A107" s="28" t="s">
        <v>33</v>
      </c>
      <c r="B107" s="105"/>
      <c r="C107" s="1" t="s">
        <v>134</v>
      </c>
      <c r="D107" s="63" t="s">
        <v>178</v>
      </c>
      <c r="E107" s="116">
        <v>0</v>
      </c>
      <c r="F107" s="16">
        <v>100</v>
      </c>
      <c r="G107" s="25">
        <f t="shared" ref="G107" si="63">ROUND((+E107*F107),0)</f>
        <v>0</v>
      </c>
      <c r="H107" s="40">
        <v>4</v>
      </c>
      <c r="I107" s="16">
        <f>F107</f>
        <v>100</v>
      </c>
      <c r="J107" s="16">
        <f t="shared" ref="J107" si="64">ROUND((+H107*I107),0)</f>
        <v>400</v>
      </c>
      <c r="K107" s="40">
        <v>4</v>
      </c>
      <c r="L107" s="16">
        <f t="shared" ref="L107" si="65">I107*(1+$B$10)</f>
        <v>103</v>
      </c>
      <c r="M107" s="25">
        <f t="shared" ref="M107" si="66">ROUND((+K107*L107),0)</f>
        <v>412</v>
      </c>
      <c r="N107" s="40">
        <v>4</v>
      </c>
      <c r="O107" s="16">
        <f t="shared" ref="O107" si="67">L107*(1+$B$10)</f>
        <v>106.09</v>
      </c>
      <c r="P107" s="25">
        <f t="shared" ref="P107" si="68">ROUND((+N107*O107),0)</f>
        <v>424</v>
      </c>
      <c r="Q107" s="39">
        <f>E107+H107+K107+N107</f>
        <v>12</v>
      </c>
      <c r="R107" s="17">
        <f>G107+J107+M107+P107</f>
        <v>1236</v>
      </c>
      <c r="S107" s="92"/>
    </row>
    <row r="108" spans="1:19" x14ac:dyDescent="0.3">
      <c r="A108" s="90" t="s">
        <v>31</v>
      </c>
      <c r="B108" s="59"/>
      <c r="C108" s="1"/>
      <c r="D108" s="124"/>
      <c r="E108" s="40"/>
      <c r="F108" s="16"/>
      <c r="G108" s="25"/>
      <c r="H108" s="36"/>
      <c r="I108" s="16"/>
      <c r="J108" s="16"/>
      <c r="K108" s="40"/>
      <c r="L108" s="16"/>
      <c r="M108" s="25"/>
      <c r="N108" s="40"/>
      <c r="O108" s="16"/>
      <c r="P108" s="25"/>
      <c r="Q108" s="39"/>
      <c r="R108" s="17"/>
      <c r="S108" s="136"/>
    </row>
    <row r="109" spans="1:19" x14ac:dyDescent="0.3">
      <c r="A109" s="138" t="s">
        <v>65</v>
      </c>
      <c r="B109" s="105"/>
      <c r="C109" s="1" t="s">
        <v>140</v>
      </c>
      <c r="D109" s="63" t="s">
        <v>156</v>
      </c>
      <c r="E109" s="40">
        <v>0</v>
      </c>
      <c r="F109" s="16">
        <v>200</v>
      </c>
      <c r="G109" s="25">
        <f t="shared" ref="G109:G112" si="69">ROUND((+E109*F109),0)</f>
        <v>0</v>
      </c>
      <c r="H109" s="36">
        <v>2</v>
      </c>
      <c r="I109" s="16">
        <f>F109</f>
        <v>200</v>
      </c>
      <c r="J109" s="16">
        <f t="shared" ref="J109" si="70">ROUND((+H109*I109),0)</f>
        <v>400</v>
      </c>
      <c r="K109" s="40">
        <v>2</v>
      </c>
      <c r="L109" s="16">
        <f t="shared" ref="L109:L112" si="71">I109*(1+$B$10)</f>
        <v>206</v>
      </c>
      <c r="M109" s="25">
        <f t="shared" ref="M109:M112" si="72">ROUND((+K109*L109),0)</f>
        <v>412</v>
      </c>
      <c r="N109" s="40">
        <v>2</v>
      </c>
      <c r="O109" s="16">
        <f t="shared" ref="O109:O112" si="73">L109*(1+$B$10)</f>
        <v>212.18</v>
      </c>
      <c r="P109" s="25">
        <f t="shared" ref="P109:P112" si="74">ROUND((+N109*O109),0)</f>
        <v>424</v>
      </c>
      <c r="Q109" s="39">
        <f>E109+H109+K109+N109</f>
        <v>6</v>
      </c>
      <c r="R109" s="17">
        <f>G109+J109+M109+P109</f>
        <v>1236</v>
      </c>
      <c r="S109" s="92"/>
    </row>
    <row r="110" spans="1:19" x14ac:dyDescent="0.3">
      <c r="A110" s="28" t="s">
        <v>28</v>
      </c>
      <c r="B110" s="105"/>
      <c r="C110" s="1" t="s">
        <v>111</v>
      </c>
      <c r="D110" s="63" t="s">
        <v>156</v>
      </c>
      <c r="E110" s="116">
        <v>0</v>
      </c>
      <c r="F110" s="16">
        <v>50</v>
      </c>
      <c r="G110" s="25">
        <f t="shared" si="69"/>
        <v>0</v>
      </c>
      <c r="H110" s="116">
        <v>2</v>
      </c>
      <c r="I110" s="16">
        <f>F110</f>
        <v>50</v>
      </c>
      <c r="J110" s="16">
        <f>ROUND((+H110*I110),0)</f>
        <v>100</v>
      </c>
      <c r="K110" s="116">
        <v>2</v>
      </c>
      <c r="L110" s="16">
        <f t="shared" si="71"/>
        <v>51.5</v>
      </c>
      <c r="M110" s="25">
        <f t="shared" si="72"/>
        <v>103</v>
      </c>
      <c r="N110" s="116">
        <v>2</v>
      </c>
      <c r="O110" s="16">
        <f t="shared" si="73"/>
        <v>53.045000000000002</v>
      </c>
      <c r="P110" s="25">
        <f t="shared" si="74"/>
        <v>106</v>
      </c>
      <c r="Q110" s="39">
        <f>E110+H110+K110+N110</f>
        <v>6</v>
      </c>
      <c r="R110" s="17">
        <f>G110+J110+M110+P110</f>
        <v>309</v>
      </c>
      <c r="S110" s="92"/>
    </row>
    <row r="111" spans="1:19" x14ac:dyDescent="0.3">
      <c r="A111" s="101" t="s">
        <v>119</v>
      </c>
      <c r="B111" s="105"/>
      <c r="C111" s="102" t="s">
        <v>138</v>
      </c>
      <c r="D111" s="103" t="s">
        <v>181</v>
      </c>
      <c r="E111" s="116">
        <v>0</v>
      </c>
      <c r="F111" s="16">
        <v>75</v>
      </c>
      <c r="G111" s="25">
        <f t="shared" si="69"/>
        <v>0</v>
      </c>
      <c r="H111" s="116">
        <v>0</v>
      </c>
      <c r="I111" s="16">
        <f>F111</f>
        <v>75</v>
      </c>
      <c r="J111" s="16">
        <f t="shared" ref="J111:J112" si="75">ROUND((+H111*I111),0)</f>
        <v>0</v>
      </c>
      <c r="K111" s="116">
        <v>0</v>
      </c>
      <c r="L111" s="16">
        <f t="shared" si="71"/>
        <v>77.25</v>
      </c>
      <c r="M111" s="25">
        <f t="shared" si="72"/>
        <v>0</v>
      </c>
      <c r="N111" s="116">
        <v>0</v>
      </c>
      <c r="O111" s="16">
        <f t="shared" si="73"/>
        <v>79.567499999999995</v>
      </c>
      <c r="P111" s="25">
        <f t="shared" si="74"/>
        <v>0</v>
      </c>
      <c r="Q111" s="39">
        <f>E111+H111+K111+N111</f>
        <v>0</v>
      </c>
      <c r="R111" s="17">
        <f>G111+J111+M111+P111</f>
        <v>0</v>
      </c>
      <c r="S111" s="136"/>
    </row>
    <row r="112" spans="1:19" x14ac:dyDescent="0.3">
      <c r="A112" s="101" t="s">
        <v>117</v>
      </c>
      <c r="B112" s="105"/>
      <c r="C112" s="102" t="s">
        <v>139</v>
      </c>
      <c r="D112" s="103" t="s">
        <v>171</v>
      </c>
      <c r="E112" s="116">
        <v>0</v>
      </c>
      <c r="F112" s="16">
        <v>50</v>
      </c>
      <c r="G112" s="25">
        <f t="shared" si="69"/>
        <v>0</v>
      </c>
      <c r="H112" s="116">
        <f>IF(B11=1, (2+1+2)*2, (4+1+2)*2)</f>
        <v>10</v>
      </c>
      <c r="I112" s="16">
        <v>50</v>
      </c>
      <c r="J112" s="16">
        <f t="shared" si="75"/>
        <v>500</v>
      </c>
      <c r="K112" s="116">
        <f>IF(B11=1, (2+1+2)*2, (4+1+2)*2)</f>
        <v>10</v>
      </c>
      <c r="L112" s="16">
        <f t="shared" si="71"/>
        <v>51.5</v>
      </c>
      <c r="M112" s="25">
        <f t="shared" si="72"/>
        <v>515</v>
      </c>
      <c r="N112" s="116">
        <f>IF(B11=1, (2+1+2)*2, (4+1+2)*2)</f>
        <v>10</v>
      </c>
      <c r="O112" s="16">
        <f t="shared" si="73"/>
        <v>53.045000000000002</v>
      </c>
      <c r="P112" s="25">
        <f t="shared" si="74"/>
        <v>530</v>
      </c>
      <c r="Q112" s="39">
        <f>E112+H112+K112+N112</f>
        <v>30</v>
      </c>
      <c r="R112" s="17">
        <f>G112+J112+M112+P112</f>
        <v>1545</v>
      </c>
      <c r="S112" s="136"/>
    </row>
    <row r="113" spans="1:19" x14ac:dyDescent="0.3">
      <c r="A113" s="98"/>
      <c r="B113" s="59"/>
      <c r="C113" s="123"/>
      <c r="D113" s="124"/>
      <c r="E113" s="40"/>
      <c r="F113" s="16"/>
      <c r="G113" s="25"/>
      <c r="H113" s="36"/>
      <c r="I113" s="16"/>
      <c r="J113" s="16"/>
      <c r="K113" s="40"/>
      <c r="L113" s="16"/>
      <c r="M113" s="25"/>
      <c r="N113" s="40"/>
      <c r="O113" s="16"/>
      <c r="P113" s="25"/>
      <c r="Q113" s="39"/>
      <c r="R113" s="17"/>
      <c r="S113" s="136"/>
    </row>
    <row r="114" spans="1:19" x14ac:dyDescent="0.3">
      <c r="A114" s="96" t="s">
        <v>94</v>
      </c>
      <c r="B114" s="3"/>
      <c r="C114" s="3"/>
      <c r="D114" s="65"/>
      <c r="E114" s="50"/>
      <c r="F114" s="17"/>
      <c r="G114" s="35">
        <f>SUM(G107:G113)</f>
        <v>0</v>
      </c>
      <c r="H114" s="41"/>
      <c r="I114" s="17"/>
      <c r="J114" s="17">
        <f>SUM(J107:J113)</f>
        <v>1400</v>
      </c>
      <c r="K114" s="50"/>
      <c r="L114" s="17"/>
      <c r="M114" s="35">
        <f>SUM(M107:M113)</f>
        <v>1442</v>
      </c>
      <c r="N114" s="50"/>
      <c r="O114" s="17"/>
      <c r="P114" s="35">
        <f>SUM(P107:P113)</f>
        <v>1484</v>
      </c>
      <c r="Q114" s="39"/>
      <c r="R114" s="17">
        <f>G114+J114+M114+P114</f>
        <v>4326</v>
      </c>
      <c r="S114" s="136">
        <f>SUM(R107:R112)</f>
        <v>4326</v>
      </c>
    </row>
    <row r="115" spans="1:19" x14ac:dyDescent="0.3">
      <c r="A115" s="30"/>
      <c r="B115" s="3"/>
      <c r="C115" s="3"/>
      <c r="D115" s="65"/>
      <c r="E115" s="50"/>
      <c r="F115" s="17"/>
      <c r="G115" s="35"/>
      <c r="H115" s="41"/>
      <c r="I115" s="17"/>
      <c r="J115" s="17"/>
      <c r="K115" s="50"/>
      <c r="L115" s="17"/>
      <c r="M115" s="35"/>
      <c r="N115" s="50"/>
      <c r="O115" s="17"/>
      <c r="P115" s="35"/>
      <c r="Q115" s="39"/>
      <c r="R115" s="17"/>
      <c r="S115" s="136"/>
    </row>
    <row r="116" spans="1:19" x14ac:dyDescent="0.3">
      <c r="A116" s="97" t="s">
        <v>152</v>
      </c>
      <c r="B116" s="59"/>
      <c r="C116" s="3" t="s">
        <v>198</v>
      </c>
      <c r="D116" s="124"/>
      <c r="E116" s="40"/>
      <c r="F116" s="16"/>
      <c r="G116" s="25"/>
      <c r="H116" s="36"/>
      <c r="I116" s="16"/>
      <c r="J116" s="16"/>
      <c r="K116" s="40"/>
      <c r="L116" s="16"/>
      <c r="M116" s="25"/>
      <c r="N116" s="40"/>
      <c r="O116" s="16"/>
      <c r="P116" s="25"/>
      <c r="Q116" s="39"/>
      <c r="R116" s="17"/>
      <c r="S116" s="136"/>
    </row>
    <row r="117" spans="1:19" x14ac:dyDescent="0.3">
      <c r="A117" s="90" t="s">
        <v>153</v>
      </c>
      <c r="B117" s="15"/>
      <c r="C117" s="1"/>
      <c r="D117" s="63"/>
      <c r="E117" s="40"/>
      <c r="F117" s="16"/>
      <c r="G117" s="25"/>
      <c r="H117" s="36"/>
      <c r="I117" s="16"/>
      <c r="J117" s="16"/>
      <c r="K117" s="40"/>
      <c r="L117" s="16"/>
      <c r="M117" s="25"/>
      <c r="N117" s="40"/>
      <c r="O117" s="16"/>
      <c r="P117" s="25"/>
      <c r="Q117" s="39"/>
      <c r="R117" s="17"/>
      <c r="S117" s="136"/>
    </row>
    <row r="118" spans="1:19" x14ac:dyDescent="0.3">
      <c r="A118" s="101" t="s">
        <v>33</v>
      </c>
      <c r="B118" s="105"/>
      <c r="C118" s="102" t="s">
        <v>182</v>
      </c>
      <c r="D118" s="103" t="s">
        <v>175</v>
      </c>
      <c r="E118" s="40">
        <v>0</v>
      </c>
      <c r="F118" s="16">
        <v>100</v>
      </c>
      <c r="G118" s="25">
        <f>ROUND((+E118*F118),0)</f>
        <v>0</v>
      </c>
      <c r="H118" s="40">
        <f>IF(B11=1, 17*2, 10*2)</f>
        <v>34</v>
      </c>
      <c r="I118" s="16">
        <f>F118</f>
        <v>100</v>
      </c>
      <c r="J118" s="16">
        <f t="shared" ref="J118:J123" si="76">ROUND((+H118*I118),0)</f>
        <v>3400</v>
      </c>
      <c r="K118" s="40">
        <f>IF(B11=1, 7*2, 5*2)</f>
        <v>14</v>
      </c>
      <c r="L118" s="16">
        <f t="shared" ref="L118:L123" si="77">I118*(1+$B$10)</f>
        <v>103</v>
      </c>
      <c r="M118" s="25">
        <f t="shared" ref="M118:M123" si="78">ROUND((+K118*L118),0)</f>
        <v>1442</v>
      </c>
      <c r="N118" s="40">
        <f>IF(B11=1, 7*2, 5*2)</f>
        <v>14</v>
      </c>
      <c r="O118" s="16">
        <f t="shared" ref="O118:O123" si="79">L118*(1+$B$10)</f>
        <v>106.09</v>
      </c>
      <c r="P118" s="25">
        <f t="shared" ref="P118:P123" si="80">ROUND((+N118*O118),0)</f>
        <v>1485</v>
      </c>
      <c r="Q118" s="39">
        <f>E118+H118+K118+N118</f>
        <v>62</v>
      </c>
      <c r="R118" s="17">
        <f>G118+J118+M118+P118</f>
        <v>6327</v>
      </c>
      <c r="S118" s="136"/>
    </row>
    <row r="119" spans="1:19" x14ac:dyDescent="0.3">
      <c r="A119" s="90" t="s">
        <v>154</v>
      </c>
      <c r="B119" s="59"/>
      <c r="C119" s="123"/>
      <c r="D119" s="124"/>
      <c r="E119" s="40"/>
      <c r="F119" s="16"/>
      <c r="G119" s="25"/>
      <c r="H119" s="40"/>
      <c r="I119" s="16"/>
      <c r="J119" s="16"/>
      <c r="K119" s="40"/>
      <c r="L119" s="16"/>
      <c r="M119" s="25"/>
      <c r="N119" s="40"/>
      <c r="O119" s="16"/>
      <c r="P119" s="25"/>
      <c r="Q119" s="39"/>
      <c r="R119" s="17"/>
      <c r="S119" s="136"/>
    </row>
    <row r="120" spans="1:19" x14ac:dyDescent="0.3">
      <c r="A120" s="106" t="s">
        <v>69</v>
      </c>
      <c r="B120" s="105"/>
      <c r="C120" s="167" t="s">
        <v>200</v>
      </c>
      <c r="D120" s="103" t="s">
        <v>175</v>
      </c>
      <c r="E120" s="116">
        <v>0</v>
      </c>
      <c r="F120" s="16">
        <v>150</v>
      </c>
      <c r="G120" s="16">
        <f t="shared" ref="G120:G122" si="81">ROUND((+E120*F120),0)</f>
        <v>0</v>
      </c>
      <c r="H120" s="116">
        <f>IF(B11=1, 33*2, 18*4)</f>
        <v>66</v>
      </c>
      <c r="I120" s="16">
        <f>F120</f>
        <v>150</v>
      </c>
      <c r="J120" s="16">
        <f t="shared" ref="J120:J122" si="82">ROUND((+H120*I120),0)</f>
        <v>9900</v>
      </c>
      <c r="K120" s="116">
        <f>IF(B11=1, 13*2, 8*4)</f>
        <v>26</v>
      </c>
      <c r="L120" s="16">
        <f t="shared" ref="L120:L122" si="83">I120*(1+$B$10)</f>
        <v>154.5</v>
      </c>
      <c r="M120" s="16">
        <f t="shared" ref="M120:M122" si="84">ROUND((+K120*L120),0)</f>
        <v>4017</v>
      </c>
      <c r="N120" s="116">
        <f>IF(B11=1, 13*2, 8*4)</f>
        <v>26</v>
      </c>
      <c r="O120" s="16">
        <f t="shared" ref="O120:O122" si="85">L120*(1+$B$10)</f>
        <v>159.13499999999999</v>
      </c>
      <c r="P120" s="25">
        <f t="shared" ref="P120:P122" si="86">ROUND((+N120*O120),0)</f>
        <v>4138</v>
      </c>
      <c r="Q120" s="39">
        <f>E120+H120+K120+N120</f>
        <v>118</v>
      </c>
      <c r="R120" s="17">
        <f>G120+J120+M120+P120</f>
        <v>18055</v>
      </c>
      <c r="S120" s="136"/>
    </row>
    <row r="121" spans="1:19" x14ac:dyDescent="0.3">
      <c r="A121" s="101" t="s">
        <v>71</v>
      </c>
      <c r="B121" s="105"/>
      <c r="C121" s="167" t="s">
        <v>199</v>
      </c>
      <c r="D121" s="103" t="s">
        <v>171</v>
      </c>
      <c r="E121" s="116">
        <v>0</v>
      </c>
      <c r="F121" s="16">
        <v>200</v>
      </c>
      <c r="G121" s="16">
        <f t="shared" si="81"/>
        <v>0</v>
      </c>
      <c r="H121" s="116">
        <f>IF(B11=1, 33, 18*2)</f>
        <v>33</v>
      </c>
      <c r="I121" s="16">
        <f>F121</f>
        <v>200</v>
      </c>
      <c r="J121" s="16">
        <f t="shared" si="82"/>
        <v>6600</v>
      </c>
      <c r="K121" s="116">
        <f>IF(B11=1, 13, 8*2)</f>
        <v>13</v>
      </c>
      <c r="L121" s="16">
        <f t="shared" si="83"/>
        <v>206</v>
      </c>
      <c r="M121" s="16">
        <f t="shared" si="84"/>
        <v>2678</v>
      </c>
      <c r="N121" s="116">
        <f>IF(B11=1, 13, 8*2)</f>
        <v>13</v>
      </c>
      <c r="O121" s="16">
        <f t="shared" si="85"/>
        <v>212.18</v>
      </c>
      <c r="P121" s="25">
        <f t="shared" si="86"/>
        <v>2758</v>
      </c>
      <c r="Q121" s="39">
        <f>E121+H121+K121+N121</f>
        <v>59</v>
      </c>
      <c r="R121" s="17">
        <f>G121+J121+M121+P121</f>
        <v>12036</v>
      </c>
      <c r="S121" s="92"/>
    </row>
    <row r="122" spans="1:19" x14ac:dyDescent="0.3">
      <c r="A122" s="101" t="s">
        <v>118</v>
      </c>
      <c r="B122" s="105"/>
      <c r="C122" s="102" t="s">
        <v>185</v>
      </c>
      <c r="D122" s="103" t="s">
        <v>175</v>
      </c>
      <c r="E122" s="116">
        <v>0</v>
      </c>
      <c r="F122" s="16">
        <v>10</v>
      </c>
      <c r="G122" s="16">
        <f t="shared" si="81"/>
        <v>0</v>
      </c>
      <c r="H122" s="116">
        <f>IF(E11=1, (2*33)+(15*2), (4*18)+(8*2))</f>
        <v>88</v>
      </c>
      <c r="I122" s="16">
        <f>F122</f>
        <v>10</v>
      </c>
      <c r="J122" s="16">
        <f t="shared" si="82"/>
        <v>880</v>
      </c>
      <c r="K122" s="116">
        <f>IF(B11=1, (2*13)+(5*2), (4*8)+(3*2))</f>
        <v>36</v>
      </c>
      <c r="L122" s="16">
        <f t="shared" si="83"/>
        <v>10.3</v>
      </c>
      <c r="M122" s="16">
        <f t="shared" si="84"/>
        <v>371</v>
      </c>
      <c r="N122" s="116">
        <f>IF(B11=1, (2*13)+(5*2), (4*8)+(3*2))</f>
        <v>36</v>
      </c>
      <c r="O122" s="16">
        <f t="shared" si="85"/>
        <v>10.609000000000002</v>
      </c>
      <c r="P122" s="25">
        <f t="shared" si="86"/>
        <v>382</v>
      </c>
      <c r="Q122" s="39">
        <f>E122+H122+K122+N122</f>
        <v>160</v>
      </c>
      <c r="R122" s="17">
        <f>G122+J122+M122+P122</f>
        <v>1633</v>
      </c>
      <c r="S122" s="136"/>
    </row>
    <row r="123" spans="1:19" x14ac:dyDescent="0.3">
      <c r="A123" s="28" t="s">
        <v>155</v>
      </c>
      <c r="B123" s="15"/>
      <c r="C123" s="1"/>
      <c r="D123" s="63" t="s">
        <v>34</v>
      </c>
      <c r="E123" s="40">
        <v>0</v>
      </c>
      <c r="F123" s="16">
        <v>2000</v>
      </c>
      <c r="G123" s="16">
        <f t="shared" ref="G123" si="87">ROUND((+E123*F123),0)</f>
        <v>0</v>
      </c>
      <c r="H123" s="116">
        <v>1</v>
      </c>
      <c r="I123" s="16">
        <f>F123</f>
        <v>2000</v>
      </c>
      <c r="J123" s="16">
        <f t="shared" si="76"/>
        <v>2000</v>
      </c>
      <c r="K123" s="40">
        <v>1</v>
      </c>
      <c r="L123" s="16">
        <f t="shared" si="77"/>
        <v>2060</v>
      </c>
      <c r="M123" s="16">
        <f t="shared" si="78"/>
        <v>2060</v>
      </c>
      <c r="N123" s="40">
        <v>1</v>
      </c>
      <c r="O123" s="16">
        <f t="shared" si="79"/>
        <v>2121.8000000000002</v>
      </c>
      <c r="P123" s="25">
        <f t="shared" si="80"/>
        <v>2122</v>
      </c>
      <c r="Q123" s="39">
        <f>E123+H123+K123+N123</f>
        <v>3</v>
      </c>
      <c r="R123" s="17">
        <f>G123+J123+M123+P123</f>
        <v>6182</v>
      </c>
      <c r="S123" s="136"/>
    </row>
    <row r="124" spans="1:19" x14ac:dyDescent="0.3">
      <c r="A124" s="28"/>
      <c r="B124" s="15"/>
      <c r="C124" s="1"/>
      <c r="D124" s="63"/>
      <c r="E124" s="40"/>
      <c r="F124" s="16"/>
      <c r="G124" s="16"/>
      <c r="H124" s="40"/>
      <c r="I124" s="16"/>
      <c r="J124" s="16"/>
      <c r="K124" s="40"/>
      <c r="L124" s="16"/>
      <c r="M124" s="16"/>
      <c r="N124" s="40"/>
      <c r="O124" s="16"/>
      <c r="P124" s="25"/>
      <c r="Q124" s="39"/>
      <c r="R124" s="17"/>
      <c r="S124" s="136"/>
    </row>
    <row r="125" spans="1:19" x14ac:dyDescent="0.3">
      <c r="A125" s="96" t="s">
        <v>95</v>
      </c>
      <c r="B125" s="3"/>
      <c r="C125" s="3"/>
      <c r="D125" s="65"/>
      <c r="E125" s="50"/>
      <c r="F125" s="17"/>
      <c r="G125" s="35">
        <f>SUM(G118:G124)</f>
        <v>0</v>
      </c>
      <c r="H125" s="41"/>
      <c r="I125" s="17"/>
      <c r="J125" s="17">
        <f>SUM(J118:J124)</f>
        <v>22780</v>
      </c>
      <c r="K125" s="50"/>
      <c r="L125" s="17"/>
      <c r="M125" s="35">
        <f>SUM(M118:M124)</f>
        <v>10568</v>
      </c>
      <c r="N125" s="50"/>
      <c r="O125" s="17"/>
      <c r="P125" s="35">
        <f>SUM(P118:P124)</f>
        <v>10885</v>
      </c>
      <c r="Q125" s="39"/>
      <c r="R125" s="17">
        <f>G125+J125+M125+P125</f>
        <v>44233</v>
      </c>
      <c r="S125" s="136">
        <f>SUM(R118:R123)</f>
        <v>44233</v>
      </c>
    </row>
    <row r="126" spans="1:19" x14ac:dyDescent="0.3">
      <c r="A126" s="30"/>
      <c r="B126" s="3"/>
      <c r="C126" s="3"/>
      <c r="D126" s="65"/>
      <c r="E126" s="50"/>
      <c r="F126" s="17"/>
      <c r="G126" s="35"/>
      <c r="H126" s="41"/>
      <c r="I126" s="17"/>
      <c r="J126" s="17"/>
      <c r="K126" s="50"/>
      <c r="L126" s="17"/>
      <c r="M126" s="35"/>
      <c r="N126" s="50"/>
      <c r="O126" s="17"/>
      <c r="P126" s="35"/>
      <c r="Q126" s="39"/>
      <c r="R126" s="17"/>
      <c r="S126" s="136"/>
    </row>
    <row r="127" spans="1:19" x14ac:dyDescent="0.3">
      <c r="A127" s="97" t="s">
        <v>83</v>
      </c>
      <c r="B127" s="15"/>
      <c r="C127" s="1"/>
      <c r="D127" s="63"/>
      <c r="E127" s="40"/>
      <c r="F127" s="16"/>
      <c r="G127" s="16"/>
      <c r="H127" s="40"/>
      <c r="I127" s="16"/>
      <c r="J127" s="16"/>
      <c r="K127" s="40"/>
      <c r="L127" s="16"/>
      <c r="M127" s="16"/>
      <c r="N127" s="40"/>
      <c r="O127" s="16"/>
      <c r="P127" s="25"/>
      <c r="Q127" s="39"/>
      <c r="R127" s="17"/>
      <c r="S127" s="136"/>
    </row>
    <row r="128" spans="1:19" x14ac:dyDescent="0.3">
      <c r="A128" s="90" t="s">
        <v>189</v>
      </c>
      <c r="B128" s="15"/>
      <c r="C128" s="163" t="s">
        <v>202</v>
      </c>
      <c r="D128" s="63"/>
      <c r="E128" s="40"/>
      <c r="F128" s="16"/>
      <c r="G128" s="25"/>
      <c r="H128" s="36"/>
      <c r="I128" s="165"/>
      <c r="J128" s="16"/>
      <c r="K128" s="40"/>
      <c r="L128" s="16"/>
      <c r="M128" s="25"/>
      <c r="N128" s="40"/>
      <c r="O128" s="16"/>
      <c r="P128" s="25"/>
      <c r="Q128" s="26"/>
      <c r="R128" s="17"/>
      <c r="S128" s="136"/>
    </row>
    <row r="129" spans="1:19" x14ac:dyDescent="0.3">
      <c r="A129" s="28" t="s">
        <v>38</v>
      </c>
      <c r="B129" s="15"/>
      <c r="C129" s="1" t="s">
        <v>137</v>
      </c>
      <c r="D129" s="63" t="s">
        <v>34</v>
      </c>
      <c r="E129" s="40">
        <v>0</v>
      </c>
      <c r="F129" s="16">
        <v>1000</v>
      </c>
      <c r="G129" s="25">
        <f t="shared" ref="G129:G133" si="88">ROUND((+E129*F129),0)</f>
        <v>0</v>
      </c>
      <c r="H129" s="164">
        <v>0</v>
      </c>
      <c r="I129" s="165">
        <v>1000</v>
      </c>
      <c r="J129" s="165">
        <f t="shared" ref="J129:J133" si="89">ROUND((+H129*I129),0)</f>
        <v>0</v>
      </c>
      <c r="K129" s="164">
        <v>0</v>
      </c>
      <c r="L129" s="165">
        <f t="shared" ref="L129:L133" si="90">I129*(1+$B$10)</f>
        <v>1030</v>
      </c>
      <c r="M129" s="166">
        <f t="shared" ref="M129:M133" si="91">ROUND((+K129*L129),0)</f>
        <v>0</v>
      </c>
      <c r="N129" s="164">
        <v>0</v>
      </c>
      <c r="O129" s="165">
        <f t="shared" ref="O129:O133" si="92">L129*(1+$B$10)</f>
        <v>1060.9000000000001</v>
      </c>
      <c r="P129" s="166">
        <f t="shared" ref="P129:P133" si="93">ROUND((+N129*O129),0)</f>
        <v>0</v>
      </c>
      <c r="Q129" s="39">
        <f t="shared" ref="Q129:Q133" si="94">E129+H129+K129+N129</f>
        <v>0</v>
      </c>
      <c r="R129" s="17">
        <f t="shared" ref="R129:R133" si="95">G129+J129+M129+P129</f>
        <v>0</v>
      </c>
      <c r="S129" s="136"/>
    </row>
    <row r="130" spans="1:19" x14ac:dyDescent="0.3">
      <c r="A130" s="28" t="s">
        <v>90</v>
      </c>
      <c r="B130" s="15"/>
      <c r="C130" s="1" t="s">
        <v>101</v>
      </c>
      <c r="D130" s="63" t="s">
        <v>174</v>
      </c>
      <c r="E130" s="40">
        <v>1</v>
      </c>
      <c r="F130" s="16">
        <v>600</v>
      </c>
      <c r="G130" s="25">
        <f t="shared" si="88"/>
        <v>600</v>
      </c>
      <c r="H130" s="164">
        <v>0</v>
      </c>
      <c r="I130" s="165">
        <v>600</v>
      </c>
      <c r="J130" s="165">
        <f t="shared" si="89"/>
        <v>0</v>
      </c>
      <c r="K130" s="164">
        <v>0</v>
      </c>
      <c r="L130" s="165">
        <f t="shared" si="90"/>
        <v>618</v>
      </c>
      <c r="M130" s="166">
        <f t="shared" si="91"/>
        <v>0</v>
      </c>
      <c r="N130" s="164">
        <v>0</v>
      </c>
      <c r="O130" s="165">
        <f t="shared" si="92"/>
        <v>636.54</v>
      </c>
      <c r="P130" s="166">
        <f t="shared" si="93"/>
        <v>0</v>
      </c>
      <c r="Q130" s="39">
        <f t="shared" si="94"/>
        <v>1</v>
      </c>
      <c r="R130" s="17">
        <f t="shared" si="95"/>
        <v>600</v>
      </c>
      <c r="S130" s="136"/>
    </row>
    <row r="131" spans="1:19" x14ac:dyDescent="0.3">
      <c r="A131" s="28" t="s">
        <v>193</v>
      </c>
      <c r="B131" s="15"/>
      <c r="C131" s="1" t="s">
        <v>114</v>
      </c>
      <c r="D131" s="63" t="s">
        <v>174</v>
      </c>
      <c r="E131" s="40">
        <v>0</v>
      </c>
      <c r="F131" s="16">
        <v>2000</v>
      </c>
      <c r="G131" s="25">
        <f t="shared" si="88"/>
        <v>0</v>
      </c>
      <c r="H131" s="164">
        <v>0</v>
      </c>
      <c r="I131" s="165">
        <v>2000</v>
      </c>
      <c r="J131" s="165">
        <f t="shared" si="89"/>
        <v>0</v>
      </c>
      <c r="K131" s="164">
        <v>0</v>
      </c>
      <c r="L131" s="165">
        <f t="shared" si="90"/>
        <v>2060</v>
      </c>
      <c r="M131" s="166">
        <f t="shared" si="91"/>
        <v>0</v>
      </c>
      <c r="N131" s="164">
        <v>0</v>
      </c>
      <c r="O131" s="165">
        <f t="shared" si="92"/>
        <v>2121.8000000000002</v>
      </c>
      <c r="P131" s="166">
        <f t="shared" si="93"/>
        <v>0</v>
      </c>
      <c r="Q131" s="39">
        <f t="shared" si="94"/>
        <v>0</v>
      </c>
      <c r="R131" s="17">
        <f t="shared" si="95"/>
        <v>0</v>
      </c>
      <c r="S131" s="136"/>
    </row>
    <row r="132" spans="1:19" x14ac:dyDescent="0.3">
      <c r="A132" s="28" t="s">
        <v>194</v>
      </c>
      <c r="B132" s="15"/>
      <c r="C132" s="1" t="s">
        <v>113</v>
      </c>
      <c r="D132" s="63" t="s">
        <v>174</v>
      </c>
      <c r="E132" s="40">
        <v>1</v>
      </c>
      <c r="F132" s="16">
        <v>1400</v>
      </c>
      <c r="G132" s="25">
        <f t="shared" si="88"/>
        <v>1400</v>
      </c>
      <c r="H132" s="164">
        <v>0</v>
      </c>
      <c r="I132" s="165">
        <v>1400</v>
      </c>
      <c r="J132" s="165">
        <f t="shared" si="89"/>
        <v>0</v>
      </c>
      <c r="K132" s="164">
        <v>0</v>
      </c>
      <c r="L132" s="165">
        <f t="shared" si="90"/>
        <v>1442</v>
      </c>
      <c r="M132" s="166">
        <f t="shared" si="91"/>
        <v>0</v>
      </c>
      <c r="N132" s="164">
        <v>0</v>
      </c>
      <c r="O132" s="165">
        <f t="shared" si="92"/>
        <v>1485.26</v>
      </c>
      <c r="P132" s="166">
        <f t="shared" si="93"/>
        <v>0</v>
      </c>
      <c r="Q132" s="39">
        <f t="shared" si="94"/>
        <v>1</v>
      </c>
      <c r="R132" s="17">
        <f t="shared" si="95"/>
        <v>1400</v>
      </c>
      <c r="S132" s="136"/>
    </row>
    <row r="133" spans="1:19" x14ac:dyDescent="0.3">
      <c r="A133" s="28" t="s">
        <v>91</v>
      </c>
      <c r="B133" s="15"/>
      <c r="C133" s="1" t="s">
        <v>114</v>
      </c>
      <c r="D133" s="63" t="s">
        <v>174</v>
      </c>
      <c r="E133" s="40">
        <v>1</v>
      </c>
      <c r="F133" s="16">
        <v>2000</v>
      </c>
      <c r="G133" s="25">
        <f t="shared" si="88"/>
        <v>2000</v>
      </c>
      <c r="H133" s="164">
        <v>0</v>
      </c>
      <c r="I133" s="165">
        <v>2000</v>
      </c>
      <c r="J133" s="165">
        <f t="shared" si="89"/>
        <v>0</v>
      </c>
      <c r="K133" s="164">
        <v>0</v>
      </c>
      <c r="L133" s="165">
        <f t="shared" si="90"/>
        <v>2060</v>
      </c>
      <c r="M133" s="166">
        <f t="shared" si="91"/>
        <v>0</v>
      </c>
      <c r="N133" s="164">
        <v>0</v>
      </c>
      <c r="O133" s="165">
        <f t="shared" si="92"/>
        <v>2121.8000000000002</v>
      </c>
      <c r="P133" s="166">
        <f t="shared" si="93"/>
        <v>0</v>
      </c>
      <c r="Q133" s="39">
        <f t="shared" si="94"/>
        <v>1</v>
      </c>
      <c r="R133" s="17">
        <f t="shared" si="95"/>
        <v>2000</v>
      </c>
      <c r="S133" s="136"/>
    </row>
    <row r="134" spans="1:19" x14ac:dyDescent="0.3">
      <c r="A134" s="90" t="s">
        <v>195</v>
      </c>
      <c r="B134" s="15"/>
      <c r="C134" s="163" t="s">
        <v>196</v>
      </c>
      <c r="D134" s="63"/>
      <c r="E134" s="40"/>
      <c r="F134" s="16"/>
      <c r="G134" s="25"/>
      <c r="H134" s="36"/>
      <c r="I134" s="165"/>
      <c r="J134" s="16"/>
      <c r="K134" s="40"/>
      <c r="L134" s="16"/>
      <c r="M134" s="25"/>
      <c r="N134" s="40"/>
      <c r="O134" s="16"/>
      <c r="P134" s="25"/>
      <c r="Q134" s="26"/>
      <c r="R134" s="17"/>
      <c r="S134" s="136"/>
    </row>
    <row r="135" spans="1:19" x14ac:dyDescent="0.3">
      <c r="A135" s="28" t="s">
        <v>112</v>
      </c>
      <c r="B135" s="15"/>
      <c r="C135" s="1" t="s">
        <v>136</v>
      </c>
      <c r="D135" s="63" t="s">
        <v>174</v>
      </c>
      <c r="E135" s="40">
        <v>0</v>
      </c>
      <c r="F135" s="16">
        <v>150</v>
      </c>
      <c r="G135" s="25">
        <f t="shared" ref="G135:G140" si="96">ROUND((+E135*F135),0)</f>
        <v>0</v>
      </c>
      <c r="H135" s="164">
        <v>0</v>
      </c>
      <c r="I135" s="165">
        <v>225</v>
      </c>
      <c r="J135" s="165">
        <f t="shared" ref="J135:J140" si="97">ROUND((+H135*I135),0)</f>
        <v>0</v>
      </c>
      <c r="K135" s="164">
        <v>0</v>
      </c>
      <c r="L135" s="165">
        <f t="shared" ref="L135:L140" si="98">I135*(1+$B$10)</f>
        <v>231.75</v>
      </c>
      <c r="M135" s="166">
        <f t="shared" ref="M135:M140" si="99">ROUND((+K135*L135),0)</f>
        <v>0</v>
      </c>
      <c r="N135" s="164">
        <v>0</v>
      </c>
      <c r="O135" s="165">
        <f t="shared" ref="O135:O140" si="100">L135*(1+$B$10)</f>
        <v>238.70250000000001</v>
      </c>
      <c r="P135" s="166">
        <f t="shared" ref="P135:P140" si="101">ROUND((+N135*O135),0)</f>
        <v>0</v>
      </c>
      <c r="Q135" s="39">
        <f t="shared" ref="Q135:Q140" si="102">E135+H135+K135+N135</f>
        <v>0</v>
      </c>
      <c r="R135" s="17">
        <f t="shared" ref="R135:R140" si="103">G135+J135+M135+P135</f>
        <v>0</v>
      </c>
      <c r="S135" s="136"/>
    </row>
    <row r="136" spans="1:19" x14ac:dyDescent="0.3">
      <c r="A136" s="28" t="s">
        <v>38</v>
      </c>
      <c r="B136" s="15"/>
      <c r="C136" s="1" t="s">
        <v>137</v>
      </c>
      <c r="D136" s="63" t="s">
        <v>34</v>
      </c>
      <c r="E136" s="40">
        <v>0</v>
      </c>
      <c r="F136" s="16">
        <v>1000</v>
      </c>
      <c r="G136" s="25">
        <f t="shared" si="96"/>
        <v>0</v>
      </c>
      <c r="H136" s="164">
        <v>0</v>
      </c>
      <c r="I136" s="165">
        <v>1000</v>
      </c>
      <c r="J136" s="165">
        <f t="shared" si="97"/>
        <v>0</v>
      </c>
      <c r="K136" s="164">
        <v>0</v>
      </c>
      <c r="L136" s="165">
        <f t="shared" si="98"/>
        <v>1030</v>
      </c>
      <c r="M136" s="166">
        <f t="shared" si="99"/>
        <v>0</v>
      </c>
      <c r="N136" s="164">
        <v>0</v>
      </c>
      <c r="O136" s="165">
        <f t="shared" si="100"/>
        <v>1060.9000000000001</v>
      </c>
      <c r="P136" s="166">
        <f t="shared" si="101"/>
        <v>0</v>
      </c>
      <c r="Q136" s="39">
        <f t="shared" si="102"/>
        <v>0</v>
      </c>
      <c r="R136" s="17">
        <f t="shared" si="103"/>
        <v>0</v>
      </c>
      <c r="S136" s="136"/>
    </row>
    <row r="137" spans="1:19" x14ac:dyDescent="0.3">
      <c r="A137" s="28" t="s">
        <v>90</v>
      </c>
      <c r="B137" s="15"/>
      <c r="C137" s="1" t="s">
        <v>101</v>
      </c>
      <c r="D137" s="63" t="s">
        <v>174</v>
      </c>
      <c r="E137" s="40">
        <v>0</v>
      </c>
      <c r="F137" s="16">
        <v>900</v>
      </c>
      <c r="G137" s="25">
        <f t="shared" si="96"/>
        <v>0</v>
      </c>
      <c r="H137" s="164">
        <v>0</v>
      </c>
      <c r="I137" s="165">
        <v>600</v>
      </c>
      <c r="J137" s="165">
        <f t="shared" si="97"/>
        <v>0</v>
      </c>
      <c r="K137" s="164">
        <v>0</v>
      </c>
      <c r="L137" s="165">
        <f t="shared" si="98"/>
        <v>618</v>
      </c>
      <c r="M137" s="166">
        <f t="shared" si="99"/>
        <v>0</v>
      </c>
      <c r="N137" s="164">
        <v>0</v>
      </c>
      <c r="O137" s="165">
        <f t="shared" si="100"/>
        <v>636.54</v>
      </c>
      <c r="P137" s="166">
        <f t="shared" si="101"/>
        <v>0</v>
      </c>
      <c r="Q137" s="39">
        <f t="shared" si="102"/>
        <v>0</v>
      </c>
      <c r="R137" s="17">
        <f t="shared" si="103"/>
        <v>0</v>
      </c>
      <c r="S137" s="136"/>
    </row>
    <row r="138" spans="1:19" x14ac:dyDescent="0.3">
      <c r="A138" s="28" t="s">
        <v>193</v>
      </c>
      <c r="B138" s="15"/>
      <c r="C138" s="1" t="s">
        <v>114</v>
      </c>
      <c r="D138" s="63" t="s">
        <v>174</v>
      </c>
      <c r="E138" s="40">
        <v>0</v>
      </c>
      <c r="F138" s="16">
        <v>3000</v>
      </c>
      <c r="G138" s="25">
        <f t="shared" si="96"/>
        <v>0</v>
      </c>
      <c r="H138" s="164">
        <v>0</v>
      </c>
      <c r="I138" s="165">
        <v>2000</v>
      </c>
      <c r="J138" s="165">
        <f t="shared" si="97"/>
        <v>0</v>
      </c>
      <c r="K138" s="164">
        <v>0</v>
      </c>
      <c r="L138" s="165">
        <f t="shared" si="98"/>
        <v>2060</v>
      </c>
      <c r="M138" s="166">
        <f t="shared" si="99"/>
        <v>0</v>
      </c>
      <c r="N138" s="164">
        <v>0</v>
      </c>
      <c r="O138" s="165">
        <f t="shared" si="100"/>
        <v>2121.8000000000002</v>
      </c>
      <c r="P138" s="166">
        <f t="shared" si="101"/>
        <v>0</v>
      </c>
      <c r="Q138" s="39">
        <f t="shared" si="102"/>
        <v>0</v>
      </c>
      <c r="R138" s="17">
        <f t="shared" si="103"/>
        <v>0</v>
      </c>
      <c r="S138" s="136"/>
    </row>
    <row r="139" spans="1:19" x14ac:dyDescent="0.3">
      <c r="A139" s="28" t="s">
        <v>194</v>
      </c>
      <c r="B139" s="15"/>
      <c r="C139" s="1" t="s">
        <v>113</v>
      </c>
      <c r="D139" s="63" t="s">
        <v>174</v>
      </c>
      <c r="E139" s="40">
        <v>0</v>
      </c>
      <c r="F139" s="16">
        <v>2100</v>
      </c>
      <c r="G139" s="25">
        <f t="shared" si="96"/>
        <v>0</v>
      </c>
      <c r="H139" s="164">
        <v>0</v>
      </c>
      <c r="I139" s="165">
        <v>1400</v>
      </c>
      <c r="J139" s="165">
        <f t="shared" si="97"/>
        <v>0</v>
      </c>
      <c r="K139" s="164">
        <v>0</v>
      </c>
      <c r="L139" s="165">
        <f t="shared" si="98"/>
        <v>1442</v>
      </c>
      <c r="M139" s="166">
        <f t="shared" si="99"/>
        <v>0</v>
      </c>
      <c r="N139" s="164">
        <v>0</v>
      </c>
      <c r="O139" s="165">
        <f t="shared" si="100"/>
        <v>1485.26</v>
      </c>
      <c r="P139" s="166">
        <f t="shared" si="101"/>
        <v>0</v>
      </c>
      <c r="Q139" s="39">
        <f t="shared" si="102"/>
        <v>0</v>
      </c>
      <c r="R139" s="17">
        <f t="shared" si="103"/>
        <v>0</v>
      </c>
      <c r="S139" s="136"/>
    </row>
    <row r="140" spans="1:19" x14ac:dyDescent="0.3">
      <c r="A140" s="28" t="s">
        <v>91</v>
      </c>
      <c r="B140" s="15"/>
      <c r="C140" s="1" t="s">
        <v>114</v>
      </c>
      <c r="D140" s="63" t="s">
        <v>174</v>
      </c>
      <c r="E140" s="40">
        <v>0</v>
      </c>
      <c r="F140" s="16">
        <v>3000</v>
      </c>
      <c r="G140" s="25">
        <f t="shared" si="96"/>
        <v>0</v>
      </c>
      <c r="H140" s="164">
        <v>0</v>
      </c>
      <c r="I140" s="165">
        <v>2000</v>
      </c>
      <c r="J140" s="165">
        <f t="shared" si="97"/>
        <v>0</v>
      </c>
      <c r="K140" s="164">
        <v>0</v>
      </c>
      <c r="L140" s="165">
        <f t="shared" si="98"/>
        <v>2060</v>
      </c>
      <c r="M140" s="166">
        <f t="shared" si="99"/>
        <v>0</v>
      </c>
      <c r="N140" s="164">
        <v>0</v>
      </c>
      <c r="O140" s="165">
        <f t="shared" si="100"/>
        <v>2121.8000000000002</v>
      </c>
      <c r="P140" s="166">
        <f t="shared" si="101"/>
        <v>0</v>
      </c>
      <c r="Q140" s="39">
        <f t="shared" si="102"/>
        <v>0</v>
      </c>
      <c r="R140" s="17">
        <f t="shared" si="103"/>
        <v>0</v>
      </c>
      <c r="S140" s="136"/>
    </row>
    <row r="141" spans="1:19" x14ac:dyDescent="0.3">
      <c r="A141" s="90" t="s">
        <v>190</v>
      </c>
      <c r="B141" s="15"/>
      <c r="C141" s="163" t="s">
        <v>191</v>
      </c>
      <c r="D141" s="63"/>
      <c r="E141" s="40"/>
      <c r="F141" s="16"/>
      <c r="G141" s="25"/>
      <c r="H141" s="36"/>
      <c r="I141" s="16"/>
      <c r="J141" s="16"/>
      <c r="K141" s="40"/>
      <c r="L141" s="16"/>
      <c r="M141" s="25"/>
      <c r="N141" s="40"/>
      <c r="O141" s="16"/>
      <c r="P141" s="25"/>
      <c r="Q141" s="26"/>
      <c r="R141" s="17"/>
      <c r="S141" s="136"/>
    </row>
    <row r="142" spans="1:19" x14ac:dyDescent="0.3">
      <c r="A142" s="28" t="s">
        <v>112</v>
      </c>
      <c r="B142" s="15"/>
      <c r="C142" s="1" t="s">
        <v>136</v>
      </c>
      <c r="D142" s="63" t="s">
        <v>174</v>
      </c>
      <c r="E142" s="164">
        <v>0</v>
      </c>
      <c r="F142" s="165">
        <v>225</v>
      </c>
      <c r="G142" s="166">
        <f t="shared" ref="G142" si="104">ROUND((+E142*F142),0)</f>
        <v>0</v>
      </c>
      <c r="H142" s="40">
        <f>$B$12</f>
        <v>2</v>
      </c>
      <c r="I142" s="16">
        <v>225</v>
      </c>
      <c r="J142" s="16">
        <f t="shared" ref="J142" si="105">ROUND((+H142*I142),0)</f>
        <v>450</v>
      </c>
      <c r="K142" s="40">
        <f>$B$12</f>
        <v>2</v>
      </c>
      <c r="L142" s="16">
        <f t="shared" ref="L142" si="106">I142*(1+$B$10)</f>
        <v>231.75</v>
      </c>
      <c r="M142" s="25">
        <f t="shared" ref="M142" si="107">ROUND((+K142*L142),0)</f>
        <v>464</v>
      </c>
      <c r="N142" s="40">
        <f>$B$12</f>
        <v>2</v>
      </c>
      <c r="O142" s="16">
        <f t="shared" ref="O142" si="108">L142*(1+$B$10)</f>
        <v>238.70250000000001</v>
      </c>
      <c r="P142" s="25">
        <f t="shared" ref="P142" si="109">ROUND((+N142*O142),0)</f>
        <v>477</v>
      </c>
      <c r="Q142" s="39">
        <f t="shared" ref="Q142:Q147" si="110">E142+H142+K142+N142</f>
        <v>6</v>
      </c>
      <c r="R142" s="17">
        <f t="shared" ref="R142:R147" si="111">G142+J142+M142+P142</f>
        <v>1391</v>
      </c>
      <c r="S142" s="136"/>
    </row>
    <row r="143" spans="1:19" x14ac:dyDescent="0.3">
      <c r="A143" s="28" t="s">
        <v>38</v>
      </c>
      <c r="B143" s="15"/>
      <c r="C143" s="1" t="s">
        <v>137</v>
      </c>
      <c r="D143" s="63" t="s">
        <v>34</v>
      </c>
      <c r="E143" s="164">
        <v>0</v>
      </c>
      <c r="F143" s="165">
        <v>1000</v>
      </c>
      <c r="G143" s="166">
        <f t="shared" ref="G143:G147" si="112">ROUND((+E143*F143),0)</f>
        <v>0</v>
      </c>
      <c r="H143" s="36">
        <v>0</v>
      </c>
      <c r="I143" s="16">
        <v>1000</v>
      </c>
      <c r="J143" s="16">
        <f t="shared" ref="J143:J147" si="113">ROUND((+H143*I143),0)</f>
        <v>0</v>
      </c>
      <c r="K143" s="40">
        <v>0</v>
      </c>
      <c r="L143" s="16">
        <f t="shared" ref="L143:L147" si="114">I143*(1+$B$10)</f>
        <v>1030</v>
      </c>
      <c r="M143" s="25">
        <f t="shared" ref="M143:M147" si="115">ROUND((+K143*L143),0)</f>
        <v>0</v>
      </c>
      <c r="N143" s="40">
        <v>0</v>
      </c>
      <c r="O143" s="16">
        <f t="shared" ref="O143:O147" si="116">L143*(1+$B$10)</f>
        <v>1060.9000000000001</v>
      </c>
      <c r="P143" s="25">
        <f t="shared" ref="P143:P147" si="117">ROUND((+N143*O143),0)</f>
        <v>0</v>
      </c>
      <c r="Q143" s="70">
        <f t="shared" si="110"/>
        <v>0</v>
      </c>
      <c r="R143" s="17">
        <f t="shared" si="111"/>
        <v>0</v>
      </c>
      <c r="S143" s="136"/>
    </row>
    <row r="144" spans="1:19" x14ac:dyDescent="0.3">
      <c r="A144" s="28" t="s">
        <v>90</v>
      </c>
      <c r="B144" s="15"/>
      <c r="C144" s="1" t="s">
        <v>101</v>
      </c>
      <c r="D144" s="63" t="s">
        <v>174</v>
      </c>
      <c r="E144" s="164">
        <v>0</v>
      </c>
      <c r="F144" s="165">
        <v>1575</v>
      </c>
      <c r="G144" s="166">
        <f t="shared" ref="G144:G146" si="118">ROUND((+E144*F144),0)</f>
        <v>0</v>
      </c>
      <c r="H144" s="36">
        <v>0</v>
      </c>
      <c r="I144" s="16">
        <v>1575</v>
      </c>
      <c r="J144" s="16">
        <f t="shared" ref="J144:J146" si="119">ROUND((+H144*I144),0)</f>
        <v>0</v>
      </c>
      <c r="K144" s="40">
        <v>0</v>
      </c>
      <c r="L144" s="16">
        <f t="shared" ref="L144:L146" si="120">I144*(1+$B$10)</f>
        <v>1622.25</v>
      </c>
      <c r="M144" s="25">
        <f t="shared" ref="M144:M146" si="121">ROUND((+K144*L144),0)</f>
        <v>0</v>
      </c>
      <c r="N144" s="40">
        <v>0</v>
      </c>
      <c r="O144" s="16">
        <f t="shared" ref="O144:O146" si="122">L144*(1+$B$10)</f>
        <v>1670.9175</v>
      </c>
      <c r="P144" s="25">
        <f t="shared" ref="P144:P146" si="123">ROUND((+N144*O144),0)</f>
        <v>0</v>
      </c>
      <c r="Q144" s="70">
        <f t="shared" si="110"/>
        <v>0</v>
      </c>
      <c r="R144" s="17">
        <f t="shared" si="111"/>
        <v>0</v>
      </c>
      <c r="S144" s="136"/>
    </row>
    <row r="145" spans="1:59" x14ac:dyDescent="0.3">
      <c r="A145" s="28" t="s">
        <v>193</v>
      </c>
      <c r="B145" s="15"/>
      <c r="C145" s="1" t="s">
        <v>114</v>
      </c>
      <c r="D145" s="63" t="s">
        <v>174</v>
      </c>
      <c r="E145" s="164">
        <v>0</v>
      </c>
      <c r="F145" s="165">
        <v>4500</v>
      </c>
      <c r="G145" s="166">
        <f t="shared" si="118"/>
        <v>0</v>
      </c>
      <c r="H145" s="36">
        <v>0</v>
      </c>
      <c r="I145" s="16">
        <v>4500</v>
      </c>
      <c r="J145" s="16">
        <f t="shared" si="119"/>
        <v>0</v>
      </c>
      <c r="K145" s="40">
        <v>0</v>
      </c>
      <c r="L145" s="16">
        <f t="shared" si="120"/>
        <v>4635</v>
      </c>
      <c r="M145" s="25">
        <f t="shared" si="121"/>
        <v>0</v>
      </c>
      <c r="N145" s="16">
        <v>0</v>
      </c>
      <c r="O145" s="16">
        <f t="shared" si="122"/>
        <v>4774.05</v>
      </c>
      <c r="P145" s="25">
        <f t="shared" si="123"/>
        <v>0</v>
      </c>
      <c r="Q145" s="70">
        <f t="shared" si="110"/>
        <v>0</v>
      </c>
      <c r="R145" s="17">
        <f t="shared" si="111"/>
        <v>0</v>
      </c>
      <c r="S145" s="136"/>
    </row>
    <row r="146" spans="1:59" x14ac:dyDescent="0.3">
      <c r="A146" s="28" t="s">
        <v>194</v>
      </c>
      <c r="B146" s="15"/>
      <c r="C146" s="1" t="s">
        <v>113</v>
      </c>
      <c r="D146" s="63" t="s">
        <v>174</v>
      </c>
      <c r="E146" s="164">
        <v>0</v>
      </c>
      <c r="F146" s="165">
        <v>3150</v>
      </c>
      <c r="G146" s="166">
        <f t="shared" si="118"/>
        <v>0</v>
      </c>
      <c r="H146" s="36">
        <v>1</v>
      </c>
      <c r="I146" s="16">
        <v>3150</v>
      </c>
      <c r="J146" s="16">
        <f t="shared" si="119"/>
        <v>3150</v>
      </c>
      <c r="K146" s="40">
        <v>1</v>
      </c>
      <c r="L146" s="16">
        <f t="shared" si="120"/>
        <v>3244.5</v>
      </c>
      <c r="M146" s="25">
        <f t="shared" si="121"/>
        <v>3245</v>
      </c>
      <c r="N146" s="16">
        <v>1</v>
      </c>
      <c r="O146" s="16">
        <f t="shared" si="122"/>
        <v>3341.835</v>
      </c>
      <c r="P146" s="25">
        <f t="shared" si="123"/>
        <v>3342</v>
      </c>
      <c r="Q146" s="70">
        <f t="shared" si="110"/>
        <v>3</v>
      </c>
      <c r="R146" s="17">
        <f t="shared" si="111"/>
        <v>9737</v>
      </c>
      <c r="S146" s="136"/>
    </row>
    <row r="147" spans="1:59" x14ac:dyDescent="0.3">
      <c r="A147" s="28" t="s">
        <v>91</v>
      </c>
      <c r="B147" s="15"/>
      <c r="C147" s="1" t="s">
        <v>114</v>
      </c>
      <c r="D147" s="63" t="s">
        <v>174</v>
      </c>
      <c r="E147" s="164">
        <v>0</v>
      </c>
      <c r="F147" s="165">
        <v>4500</v>
      </c>
      <c r="G147" s="166">
        <f t="shared" si="112"/>
        <v>0</v>
      </c>
      <c r="H147" s="36">
        <v>1</v>
      </c>
      <c r="I147" s="16">
        <v>4500</v>
      </c>
      <c r="J147" s="16">
        <f t="shared" si="113"/>
        <v>4500</v>
      </c>
      <c r="K147" s="40">
        <v>1</v>
      </c>
      <c r="L147" s="16">
        <f t="shared" si="114"/>
        <v>4635</v>
      </c>
      <c r="M147" s="25">
        <f t="shared" si="115"/>
        <v>4635</v>
      </c>
      <c r="N147" s="40">
        <v>1</v>
      </c>
      <c r="O147" s="16">
        <f t="shared" si="116"/>
        <v>4774.05</v>
      </c>
      <c r="P147" s="25">
        <f t="shared" si="117"/>
        <v>4774</v>
      </c>
      <c r="Q147" s="70">
        <f t="shared" si="110"/>
        <v>3</v>
      </c>
      <c r="R147" s="17">
        <f t="shared" si="111"/>
        <v>13909</v>
      </c>
      <c r="S147" s="136"/>
    </row>
    <row r="148" spans="1:59" x14ac:dyDescent="0.3">
      <c r="A148" s="90" t="s">
        <v>192</v>
      </c>
      <c r="B148" s="15"/>
      <c r="C148" s="1" t="s">
        <v>205</v>
      </c>
      <c r="D148" s="63"/>
      <c r="E148" s="40"/>
      <c r="F148" s="16"/>
      <c r="G148" s="25"/>
      <c r="H148" s="36"/>
      <c r="I148" s="16"/>
      <c r="J148" s="16"/>
      <c r="K148" s="40"/>
      <c r="L148" s="16"/>
      <c r="M148" s="25"/>
      <c r="N148" s="40"/>
      <c r="O148" s="16"/>
      <c r="P148" s="25"/>
      <c r="Q148" s="70"/>
      <c r="R148" s="17"/>
      <c r="S148" s="136"/>
    </row>
    <row r="149" spans="1:59" x14ac:dyDescent="0.3">
      <c r="A149" s="28" t="s">
        <v>30</v>
      </c>
      <c r="B149" s="15"/>
      <c r="C149" s="1" t="s">
        <v>137</v>
      </c>
      <c r="D149" s="63" t="s">
        <v>34</v>
      </c>
      <c r="E149" s="116">
        <v>1</v>
      </c>
      <c r="F149" s="129">
        <v>1000</v>
      </c>
      <c r="G149" s="128">
        <f t="shared" ref="G149:G150" si="124">ROUND((+E149*F149),0)</f>
        <v>1000</v>
      </c>
      <c r="H149" s="116" t="str">
        <f>IF(B14="Yes", "1", "0")</f>
        <v>0</v>
      </c>
      <c r="I149" s="129">
        <v>1000</v>
      </c>
      <c r="J149" s="129">
        <f t="shared" ref="J149:J150" si="125">ROUND((+H149*I149),0)</f>
        <v>0</v>
      </c>
      <c r="K149" s="116" t="str">
        <f>IF(B14="Yes", "1", "0")</f>
        <v>0</v>
      </c>
      <c r="L149" s="129">
        <f t="shared" ref="L149:L150" si="126">I149*(1+$B$10)</f>
        <v>1030</v>
      </c>
      <c r="M149" s="128">
        <f t="shared" ref="M149:M150" si="127">ROUND((+K149*L149),0)</f>
        <v>0</v>
      </c>
      <c r="N149" s="116" t="str">
        <f>IF(B14="Yes", "1", "0")</f>
        <v>0</v>
      </c>
      <c r="O149" s="129">
        <f t="shared" ref="O149:O150" si="128">L149*(1+$B$10)</f>
        <v>1060.9000000000001</v>
      </c>
      <c r="P149" s="128">
        <f t="shared" ref="P149:P150" si="129">ROUND((+N149*O149),0)</f>
        <v>0</v>
      </c>
      <c r="Q149" s="70">
        <f>E149+H149+K149+N149</f>
        <v>1</v>
      </c>
      <c r="R149" s="17">
        <f>G149+J149+M149+P149</f>
        <v>1000</v>
      </c>
      <c r="S149" s="136"/>
    </row>
    <row r="150" spans="1:59" x14ac:dyDescent="0.3">
      <c r="A150" s="28" t="s">
        <v>90</v>
      </c>
      <c r="B150" s="15"/>
      <c r="C150" s="1" t="s">
        <v>115</v>
      </c>
      <c r="D150" s="63" t="s">
        <v>174</v>
      </c>
      <c r="E150" s="116">
        <v>1</v>
      </c>
      <c r="F150" s="129">
        <v>6100</v>
      </c>
      <c r="G150" s="128">
        <f t="shared" si="124"/>
        <v>6100</v>
      </c>
      <c r="H150" s="116">
        <v>0</v>
      </c>
      <c r="I150" s="129">
        <v>6100</v>
      </c>
      <c r="J150" s="129">
        <f t="shared" si="125"/>
        <v>0</v>
      </c>
      <c r="K150" s="116">
        <v>0</v>
      </c>
      <c r="L150" s="129">
        <f t="shared" si="126"/>
        <v>6283</v>
      </c>
      <c r="M150" s="128">
        <f t="shared" si="127"/>
        <v>0</v>
      </c>
      <c r="N150" s="116">
        <v>0</v>
      </c>
      <c r="O150" s="129">
        <f t="shared" si="128"/>
        <v>6471.49</v>
      </c>
      <c r="P150" s="25">
        <f t="shared" si="129"/>
        <v>0</v>
      </c>
      <c r="Q150" s="70">
        <f>E150+H150+K150+N150</f>
        <v>1</v>
      </c>
      <c r="R150" s="17">
        <f>G150+J150+M150+P150</f>
        <v>6100</v>
      </c>
      <c r="S150" s="136"/>
    </row>
    <row r="151" spans="1:59" x14ac:dyDescent="0.3">
      <c r="A151" s="28" t="s">
        <v>193</v>
      </c>
      <c r="B151" s="15"/>
      <c r="C151" s="1" t="s">
        <v>115</v>
      </c>
      <c r="D151" s="63" t="s">
        <v>174</v>
      </c>
      <c r="E151" s="116">
        <v>0</v>
      </c>
      <c r="F151" s="129">
        <v>14100</v>
      </c>
      <c r="G151" s="128">
        <f t="shared" ref="G151:G153" si="130">ROUND((+E151*F151),0)</f>
        <v>0</v>
      </c>
      <c r="H151" s="116">
        <v>0</v>
      </c>
      <c r="I151" s="129">
        <v>14100</v>
      </c>
      <c r="J151" s="129">
        <f t="shared" ref="J151:J153" si="131">ROUND((+H151*I151),0)</f>
        <v>0</v>
      </c>
      <c r="K151" s="116">
        <v>0</v>
      </c>
      <c r="L151" s="129">
        <f t="shared" ref="L151:L153" si="132">I151*(1+$B$10)</f>
        <v>14523</v>
      </c>
      <c r="M151" s="128">
        <f t="shared" ref="M151:M153" si="133">ROUND((+K151*L151),0)</f>
        <v>0</v>
      </c>
      <c r="N151" s="116">
        <v>0</v>
      </c>
      <c r="O151" s="129">
        <f t="shared" ref="O151:O153" si="134">L151*(1+$B$10)</f>
        <v>14958.69</v>
      </c>
      <c r="P151" s="25">
        <f t="shared" ref="P151:P153" si="135">ROUND((+N151*O151),0)</f>
        <v>0</v>
      </c>
      <c r="Q151" s="70">
        <f>E151+H151+K151+N151</f>
        <v>0</v>
      </c>
      <c r="R151" s="17">
        <f>G151+J151+M151+P151</f>
        <v>0</v>
      </c>
      <c r="S151" s="136"/>
    </row>
    <row r="152" spans="1:59" x14ac:dyDescent="0.3">
      <c r="A152" s="28" t="s">
        <v>194</v>
      </c>
      <c r="B152" s="15"/>
      <c r="C152" s="1" t="s">
        <v>115</v>
      </c>
      <c r="D152" s="63" t="s">
        <v>174</v>
      </c>
      <c r="E152" s="116">
        <v>1</v>
      </c>
      <c r="F152" s="129">
        <v>14100</v>
      </c>
      <c r="G152" s="128">
        <f t="shared" ref="G152" si="136">ROUND((+E152*F152),0)</f>
        <v>14100</v>
      </c>
      <c r="H152" s="116">
        <v>1</v>
      </c>
      <c r="I152" s="129">
        <v>14100</v>
      </c>
      <c r="J152" s="129">
        <f t="shared" ref="J152" si="137">ROUND((+H152*I152),0)</f>
        <v>14100</v>
      </c>
      <c r="K152" s="116">
        <v>1</v>
      </c>
      <c r="L152" s="129">
        <f t="shared" ref="L152" si="138">I152*(1+$B$10)</f>
        <v>14523</v>
      </c>
      <c r="M152" s="128">
        <f t="shared" ref="M152" si="139">ROUND((+K152*L152),0)</f>
        <v>14523</v>
      </c>
      <c r="N152" s="116">
        <v>1</v>
      </c>
      <c r="O152" s="129">
        <f t="shared" ref="O152" si="140">L152*(1+$B$10)</f>
        <v>14958.69</v>
      </c>
      <c r="P152" s="25">
        <f t="shared" ref="P152" si="141">ROUND((+N152*O152),0)</f>
        <v>14959</v>
      </c>
      <c r="Q152" s="39">
        <f>E152+H152+K152+N152</f>
        <v>4</v>
      </c>
      <c r="R152" s="17">
        <f>G152+J152+M152+P152</f>
        <v>57682</v>
      </c>
      <c r="S152" s="136"/>
    </row>
    <row r="153" spans="1:59" x14ac:dyDescent="0.3">
      <c r="A153" s="28" t="s">
        <v>91</v>
      </c>
      <c r="B153" s="15"/>
      <c r="C153" s="1" t="s">
        <v>115</v>
      </c>
      <c r="D153" s="63" t="s">
        <v>174</v>
      </c>
      <c r="E153" s="116">
        <v>1</v>
      </c>
      <c r="F153" s="129">
        <v>8400</v>
      </c>
      <c r="G153" s="128">
        <f t="shared" si="130"/>
        <v>8400</v>
      </c>
      <c r="H153" s="116">
        <v>1</v>
      </c>
      <c r="I153" s="129">
        <v>8400</v>
      </c>
      <c r="J153" s="129">
        <f t="shared" si="131"/>
        <v>8400</v>
      </c>
      <c r="K153" s="116">
        <v>1</v>
      </c>
      <c r="L153" s="129">
        <f t="shared" si="132"/>
        <v>8652</v>
      </c>
      <c r="M153" s="128">
        <f t="shared" si="133"/>
        <v>8652</v>
      </c>
      <c r="N153" s="116">
        <v>1</v>
      </c>
      <c r="O153" s="129">
        <f t="shared" si="134"/>
        <v>8911.56</v>
      </c>
      <c r="P153" s="25">
        <f t="shared" si="135"/>
        <v>8912</v>
      </c>
      <c r="Q153" s="39">
        <f>E153+H153+K153+N153</f>
        <v>4</v>
      </c>
      <c r="R153" s="17">
        <f>G153+J153+M153+P153</f>
        <v>34364</v>
      </c>
      <c r="S153" s="136"/>
    </row>
    <row r="154" spans="1:59" x14ac:dyDescent="0.3">
      <c r="A154" s="30"/>
      <c r="B154" s="3"/>
      <c r="C154" s="3"/>
      <c r="D154" s="65"/>
      <c r="E154" s="130"/>
      <c r="F154" s="131"/>
      <c r="G154" s="132"/>
      <c r="H154" s="133"/>
      <c r="I154" s="131"/>
      <c r="J154" s="131"/>
      <c r="K154" s="130"/>
      <c r="L154" s="131"/>
      <c r="M154" s="132"/>
      <c r="N154" s="130"/>
      <c r="O154" s="131"/>
      <c r="P154" s="54"/>
      <c r="Q154" s="39"/>
      <c r="R154" s="17" t="s">
        <v>4</v>
      </c>
      <c r="S154" s="136"/>
    </row>
    <row r="155" spans="1:59" x14ac:dyDescent="0.3">
      <c r="A155" s="96" t="s">
        <v>166</v>
      </c>
      <c r="B155" s="3"/>
      <c r="C155" s="3"/>
      <c r="D155" s="65"/>
      <c r="E155" s="50"/>
      <c r="F155" s="17"/>
      <c r="G155" s="35">
        <f>SUM(G128:G154)</f>
        <v>33600</v>
      </c>
      <c r="H155" s="41"/>
      <c r="I155" s="17"/>
      <c r="J155" s="17">
        <f>SUM(J142:J154)</f>
        <v>30600</v>
      </c>
      <c r="K155" s="50"/>
      <c r="L155" s="17"/>
      <c r="M155" s="35">
        <f>SUM(M142:M154)</f>
        <v>31519</v>
      </c>
      <c r="N155" s="50"/>
      <c r="O155" s="17"/>
      <c r="P155" s="35">
        <f>SUM(P142:P154)</f>
        <v>32464</v>
      </c>
      <c r="Q155" s="39"/>
      <c r="R155" s="17">
        <f>G155+J155+M155+P155</f>
        <v>128183</v>
      </c>
      <c r="S155" s="136">
        <f>SUM(R142:R153)</f>
        <v>124183</v>
      </c>
    </row>
    <row r="156" spans="1:59" x14ac:dyDescent="0.3">
      <c r="A156" s="30"/>
      <c r="B156" s="3"/>
      <c r="C156" s="3"/>
      <c r="D156" s="65"/>
      <c r="E156" s="50"/>
      <c r="F156" s="17"/>
      <c r="G156" s="35"/>
      <c r="H156" s="41"/>
      <c r="I156" s="17"/>
      <c r="J156" s="17"/>
      <c r="K156" s="50"/>
      <c r="L156" s="17"/>
      <c r="M156" s="35"/>
      <c r="N156" s="50"/>
      <c r="O156" s="17"/>
      <c r="P156" s="35"/>
      <c r="Q156" s="39"/>
      <c r="R156" s="17"/>
      <c r="S156" s="136"/>
    </row>
    <row r="157" spans="1:59" s="4" customFormat="1" ht="16.2" thickBot="1" x14ac:dyDescent="0.35">
      <c r="A157" s="34" t="s">
        <v>50</v>
      </c>
      <c r="B157" s="22"/>
      <c r="C157" s="22"/>
      <c r="D157" s="66"/>
      <c r="E157" s="51"/>
      <c r="F157" s="23"/>
      <c r="G157" s="33">
        <f>G103+G114+G125+G155</f>
        <v>33600</v>
      </c>
      <c r="H157" s="42"/>
      <c r="I157" s="23"/>
      <c r="J157" s="23">
        <f>J103+J114+J125+J155</f>
        <v>55680</v>
      </c>
      <c r="K157" s="51"/>
      <c r="L157" s="23"/>
      <c r="M157" s="33">
        <f>M103+M114+M125+M155</f>
        <v>44456</v>
      </c>
      <c r="N157" s="51"/>
      <c r="O157" s="23"/>
      <c r="P157" s="33">
        <f>P103+P114+P125+P155</f>
        <v>51622</v>
      </c>
      <c r="Q157" s="22"/>
      <c r="R157" s="150">
        <f>G157+J157+M157+P157</f>
        <v>185358</v>
      </c>
      <c r="S157" s="136">
        <f>R103+R114+R125+R155</f>
        <v>185358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.2" thickTop="1" x14ac:dyDescent="0.3">
      <c r="A158" s="30"/>
      <c r="B158" s="3"/>
      <c r="C158" s="3"/>
      <c r="D158" s="65"/>
      <c r="E158" s="50"/>
      <c r="F158" s="17"/>
      <c r="G158" s="35"/>
      <c r="H158" s="41"/>
      <c r="I158" s="17"/>
      <c r="J158" s="17"/>
      <c r="K158" s="50"/>
      <c r="L158" s="17"/>
      <c r="M158" s="35"/>
      <c r="N158" s="50"/>
      <c r="O158" s="17"/>
      <c r="P158" s="35"/>
      <c r="Q158" s="3"/>
      <c r="R158" s="17"/>
      <c r="S158" s="136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x14ac:dyDescent="0.3">
      <c r="A159" s="30" t="s">
        <v>52</v>
      </c>
      <c r="B159" s="1"/>
      <c r="C159" s="1"/>
      <c r="D159" s="63"/>
      <c r="E159" s="40"/>
      <c r="F159" s="16"/>
      <c r="G159" s="35">
        <f>G47+G52+G78+G84+G89+G157</f>
        <v>33600</v>
      </c>
      <c r="H159" s="41"/>
      <c r="I159" s="17"/>
      <c r="J159" s="35">
        <f>J47+J52+J78+J84+J89+J157</f>
        <v>112015</v>
      </c>
      <c r="K159" s="50"/>
      <c r="L159" s="17"/>
      <c r="M159" s="35">
        <f>M47+M52+M78+M84+M89+M157</f>
        <v>100010</v>
      </c>
      <c r="N159" s="50"/>
      <c r="O159" s="17"/>
      <c r="P159" s="35">
        <f>P47+P52+P78+P84+P89+P157</f>
        <v>112713</v>
      </c>
      <c r="Q159" s="3"/>
      <c r="R159" s="17">
        <f>G159+J159+M159+P159</f>
        <v>358338</v>
      </c>
      <c r="S159" s="136">
        <f>R157+R89+R84+R78+R52+R47</f>
        <v>358338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 ht="16.2" thickBot="1" x14ac:dyDescent="0.35">
      <c r="A160" s="34"/>
      <c r="B160" s="22"/>
      <c r="C160" s="22"/>
      <c r="D160" s="66"/>
      <c r="E160" s="51"/>
      <c r="F160" s="23"/>
      <c r="G160" s="33"/>
      <c r="H160" s="42"/>
      <c r="I160" s="23"/>
      <c r="J160" s="23"/>
      <c r="K160" s="51"/>
      <c r="L160" s="23"/>
      <c r="M160" s="33"/>
      <c r="N160" s="51"/>
      <c r="O160" s="23"/>
      <c r="P160" s="33"/>
      <c r="Q160" s="22" t="s">
        <v>4</v>
      </c>
      <c r="R160" s="23"/>
      <c r="S160" s="13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.2" thickTop="1" x14ac:dyDescent="0.3">
      <c r="A161" s="48"/>
      <c r="B161" s="1"/>
      <c r="C161" s="1"/>
      <c r="D161" s="63"/>
      <c r="E161" s="40"/>
      <c r="F161" s="16"/>
      <c r="G161" s="25"/>
      <c r="H161" s="36"/>
      <c r="I161" s="16"/>
      <c r="J161" s="16"/>
      <c r="K161" s="40"/>
      <c r="L161" s="16"/>
      <c r="M161" s="25"/>
      <c r="N161" s="40"/>
      <c r="O161" s="16"/>
      <c r="P161" s="25"/>
      <c r="Q161" s="3"/>
      <c r="R161" s="16"/>
      <c r="S161" s="13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x14ac:dyDescent="0.3">
      <c r="A162" s="30" t="s">
        <v>21</v>
      </c>
      <c r="B162" s="1"/>
      <c r="D162" s="161"/>
      <c r="E162" s="40"/>
      <c r="F162" s="16"/>
      <c r="G162" s="35"/>
      <c r="H162" s="41"/>
      <c r="I162" s="17"/>
      <c r="J162" s="35"/>
      <c r="K162" s="50"/>
      <c r="L162" s="17"/>
      <c r="M162" s="35"/>
      <c r="N162" s="50"/>
      <c r="O162" s="17"/>
      <c r="P162" s="35"/>
      <c r="Q162" s="3"/>
      <c r="R162" s="35"/>
      <c r="S162" s="13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x14ac:dyDescent="0.3">
      <c r="A163" s="30"/>
      <c r="B163" s="1"/>
      <c r="C163" s="117"/>
      <c r="D163" s="79"/>
      <c r="E163" s="40"/>
      <c r="F163" s="16"/>
      <c r="G163" s="35"/>
      <c r="H163" s="41"/>
      <c r="I163" s="17"/>
      <c r="J163" s="17"/>
      <c r="K163" s="50"/>
      <c r="L163" s="17"/>
      <c r="M163" s="35"/>
      <c r="N163" s="50"/>
      <c r="O163" s="17"/>
      <c r="P163" s="35"/>
      <c r="Q163" s="3"/>
      <c r="R163" s="17"/>
      <c r="S163" s="13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x14ac:dyDescent="0.3">
      <c r="A164" s="90" t="s">
        <v>167</v>
      </c>
      <c r="B164" s="1"/>
      <c r="C164" s="117"/>
      <c r="D164" s="79">
        <f>$B$9</f>
        <v>0.12</v>
      </c>
      <c r="E164" s="40"/>
      <c r="F164" s="16"/>
      <c r="G164" s="35">
        <f>(G$45+G$89+G$114+G$125+G$155)*$D$164</f>
        <v>4032</v>
      </c>
      <c r="H164" s="41"/>
      <c r="I164" s="17"/>
      <c r="J164" s="35">
        <f>(J$45+J$89+J$114+J$125+J$155)*$D$164</f>
        <v>9724.7999999999993</v>
      </c>
      <c r="K164" s="50"/>
      <c r="L164" s="17"/>
      <c r="M164" s="35">
        <f>(M$45+M$89+M$114+M$125+M$155)*$D$164</f>
        <v>8469.36</v>
      </c>
      <c r="N164" s="50"/>
      <c r="O164" s="17"/>
      <c r="P164" s="35">
        <f>(P$45+P$89+P$114+P$125+P$155)*$D$164</f>
        <v>8723.0399999999991</v>
      </c>
      <c r="Q164" s="3"/>
      <c r="R164" s="17">
        <f>G164+J164+M164+P164</f>
        <v>30949.199999999997</v>
      </c>
      <c r="S164" s="13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x14ac:dyDescent="0.3">
      <c r="A165" s="90" t="s">
        <v>158</v>
      </c>
      <c r="B165" s="1"/>
      <c r="C165" s="117" t="s">
        <v>116</v>
      </c>
      <c r="D165" s="79">
        <f>$B$8</f>
        <v>0.17499999999999999</v>
      </c>
      <c r="E165" s="40"/>
      <c r="F165" s="16"/>
      <c r="G165" s="35">
        <f>(G$159+G$164)*$D$165</f>
        <v>6585.5999999999995</v>
      </c>
      <c r="H165" s="41"/>
      <c r="I165" s="17"/>
      <c r="J165" s="35">
        <f>(J$159+J$164)*$D$165</f>
        <v>21304.465</v>
      </c>
      <c r="K165" s="50"/>
      <c r="L165" s="17"/>
      <c r="M165" s="35">
        <f>(M$159+M$164)*$D$165</f>
        <v>18983.887999999999</v>
      </c>
      <c r="N165" s="50"/>
      <c r="O165" s="17"/>
      <c r="P165" s="35">
        <f>(P$159+P$164)*$D$165</f>
        <v>21251.306999999997</v>
      </c>
      <c r="Q165" s="3"/>
      <c r="R165" s="17">
        <f>G165+J165+M165+P165</f>
        <v>68125.259999999995</v>
      </c>
      <c r="S165" s="13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s="4" customFormat="1" x14ac:dyDescent="0.3">
      <c r="A166" s="90"/>
      <c r="B166" s="1"/>
      <c r="C166" s="117"/>
      <c r="D166" s="79"/>
      <c r="E166" s="40"/>
      <c r="F166" s="16"/>
      <c r="G166" s="35"/>
      <c r="H166" s="41"/>
      <c r="I166" s="17"/>
      <c r="J166" s="35"/>
      <c r="K166" s="50"/>
      <c r="L166" s="17"/>
      <c r="M166" s="35"/>
      <c r="N166" s="50"/>
      <c r="O166" s="17"/>
      <c r="P166" s="35"/>
      <c r="Q166" s="3"/>
      <c r="R166" s="17"/>
      <c r="S166" s="13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s="4" customFormat="1" ht="16.2" thickBot="1" x14ac:dyDescent="0.35">
      <c r="A167" s="34" t="s">
        <v>168</v>
      </c>
      <c r="B167" s="22"/>
      <c r="C167" s="22"/>
      <c r="D167" s="66"/>
      <c r="E167" s="51"/>
      <c r="F167" s="23"/>
      <c r="G167" s="150">
        <f>SUM(G164:G165)</f>
        <v>10617.599999999999</v>
      </c>
      <c r="H167" s="151"/>
      <c r="I167" s="152"/>
      <c r="J167" s="150">
        <f>SUM(J164:J165)</f>
        <v>31029.264999999999</v>
      </c>
      <c r="K167" s="153"/>
      <c r="L167" s="152"/>
      <c r="M167" s="150">
        <f>SUM(M164:M165)</f>
        <v>27453.248</v>
      </c>
      <c r="N167" s="153"/>
      <c r="O167" s="152"/>
      <c r="P167" s="150">
        <f>SUM(P164:P165)</f>
        <v>29974.346999999994</v>
      </c>
      <c r="Q167" s="154"/>
      <c r="R167" s="150">
        <f>SUM(R164:R165)</f>
        <v>99074.459999999992</v>
      </c>
      <c r="S167" s="136">
        <f>G167+J167+M167+P167</f>
        <v>99074.459999999992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s="4" customFormat="1" ht="16.2" thickTop="1" x14ac:dyDescent="0.3">
      <c r="A168" s="30"/>
      <c r="B168" s="3"/>
      <c r="C168" s="3"/>
      <c r="D168" s="65"/>
      <c r="E168" s="50"/>
      <c r="F168" s="17"/>
      <c r="G168" s="35"/>
      <c r="H168" s="41"/>
      <c r="I168" s="17"/>
      <c r="J168" s="35"/>
      <c r="K168" s="50"/>
      <c r="L168" s="17"/>
      <c r="M168" s="35"/>
      <c r="N168" s="50"/>
      <c r="O168" s="17"/>
      <c r="P168" s="35"/>
      <c r="Q168" s="3"/>
      <c r="R168" s="35"/>
      <c r="S168" s="136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s="4" customFormat="1" x14ac:dyDescent="0.3">
      <c r="A169" s="30" t="s">
        <v>53</v>
      </c>
      <c r="B169" s="3"/>
      <c r="C169" s="3"/>
      <c r="D169" s="65"/>
      <c r="E169" s="50"/>
      <c r="F169" s="17"/>
      <c r="G169" s="35">
        <f>G$159+G$164+G$165</f>
        <v>44217.599999999999</v>
      </c>
      <c r="H169" s="41"/>
      <c r="I169" s="17"/>
      <c r="J169" s="35">
        <f>J$159+J$164+J$165</f>
        <v>143044.26500000001</v>
      </c>
      <c r="K169" s="50"/>
      <c r="L169" s="17"/>
      <c r="M169" s="35">
        <f>M$159+M$164+M$165</f>
        <v>127463.24799999999</v>
      </c>
      <c r="N169" s="50"/>
      <c r="O169" s="17"/>
      <c r="P169" s="35">
        <f>P$159+P$164+P$165</f>
        <v>142687.34699999998</v>
      </c>
      <c r="Q169" s="3"/>
      <c r="R169" s="17">
        <f>G169+J169+M169+P169</f>
        <v>457412.45999999996</v>
      </c>
      <c r="S169" s="136">
        <f>R159+R167</f>
        <v>457412.45999999996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s="4" customFormat="1" ht="16.2" thickBot="1" x14ac:dyDescent="0.35">
      <c r="A170" s="94" t="s">
        <v>4</v>
      </c>
      <c r="B170" s="12"/>
      <c r="C170" s="12"/>
      <c r="D170" s="64"/>
      <c r="E170" s="53"/>
      <c r="F170" s="19"/>
      <c r="G170" s="58"/>
      <c r="H170" s="45"/>
      <c r="I170" s="19"/>
      <c r="J170" s="31"/>
      <c r="K170" s="53"/>
      <c r="L170" s="19"/>
      <c r="M170" s="58"/>
      <c r="N170" s="53"/>
      <c r="O170" s="19"/>
      <c r="P170" s="58"/>
      <c r="Q170" s="22"/>
      <c r="R170" s="31"/>
      <c r="S170" s="13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</row>
    <row r="171" spans="1:59" s="4" customFormat="1" ht="16.2" thickTop="1" x14ac:dyDescent="0.3">
      <c r="A171" s="1" t="s">
        <v>170</v>
      </c>
      <c r="B171" s="1"/>
      <c r="C171" s="78"/>
      <c r="D171" s="78"/>
      <c r="E171" s="36"/>
      <c r="F171" s="1"/>
      <c r="G171" s="1"/>
      <c r="H171" s="36"/>
      <c r="I171" s="1"/>
      <c r="J171" s="1"/>
      <c r="K171" s="36"/>
      <c r="L171" s="1"/>
      <c r="M171" s="1"/>
      <c r="N171" s="36"/>
      <c r="O171" s="1"/>
      <c r="P171" s="1"/>
      <c r="Q171" s="3"/>
      <c r="R171" s="3"/>
      <c r="S171" s="136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1:59" s="1" customFormat="1" x14ac:dyDescent="0.3">
      <c r="E172" s="36"/>
      <c r="H172" s="36"/>
      <c r="K172" s="36"/>
      <c r="N172" s="36"/>
      <c r="Q172" s="3"/>
      <c r="R172" s="3"/>
      <c r="S172" s="136"/>
    </row>
    <row r="173" spans="1:59" s="1" customFormat="1" x14ac:dyDescent="0.3">
      <c r="E173" s="36"/>
      <c r="H173" s="36"/>
      <c r="K173" s="36"/>
      <c r="N173" s="36"/>
      <c r="Q173" s="3"/>
      <c r="R173" s="3"/>
      <c r="S173" s="136"/>
    </row>
    <row r="174" spans="1:59" s="1" customFormat="1" x14ac:dyDescent="0.3">
      <c r="E174" s="36"/>
      <c r="H174" s="36"/>
      <c r="K174" s="36"/>
      <c r="N174" s="36"/>
      <c r="Q174" s="3"/>
      <c r="R174" s="3"/>
      <c r="S174" s="136"/>
    </row>
    <row r="175" spans="1:59" x14ac:dyDescent="0.3">
      <c r="S175" s="136"/>
    </row>
  </sheetData>
  <mergeCells count="15">
    <mergeCell ref="F8:G8"/>
    <mergeCell ref="E7:G7"/>
    <mergeCell ref="F12:G12"/>
    <mergeCell ref="E16:J16"/>
    <mergeCell ref="K16:M16"/>
    <mergeCell ref="F9:G9"/>
    <mergeCell ref="F10:G10"/>
    <mergeCell ref="F11:G11"/>
    <mergeCell ref="N16:P16"/>
    <mergeCell ref="Q18:R18"/>
    <mergeCell ref="E19:G19"/>
    <mergeCell ref="H19:J19"/>
    <mergeCell ref="K19:M19"/>
    <mergeCell ref="N19:P19"/>
    <mergeCell ref="Q19:R19"/>
  </mergeCells>
  <dataValidations disablePrompts="1" count="2">
    <dataValidation type="list" allowBlank="1" showInputMessage="1" showErrorMessage="1" sqref="B13:B15" xr:uid="{84E73A23-A8E7-4B4F-AA57-FAAAFBA665DF}">
      <formula1>"Yes, No"</formula1>
    </dataValidation>
    <dataValidation type="list" allowBlank="1" showInputMessage="1" showErrorMessage="1" sqref="B11" xr:uid="{4CC8A995-3286-4FCE-B3F8-258A5C32FD46}">
      <formula1>"1, 2"</formula1>
    </dataValidation>
  </dataValidation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B52A-B195-4C93-B91E-9B2CEAEE3F42}">
  <sheetPr>
    <tabColor theme="9" tint="0.79998168889431442"/>
  </sheetPr>
  <dimension ref="A1:BG175"/>
  <sheetViews>
    <sheetView tabSelected="1" zoomScale="70" zoomScaleNormal="70" workbookViewId="0"/>
  </sheetViews>
  <sheetFormatPr defaultColWidth="11.21875" defaultRowHeight="15.6" x14ac:dyDescent="0.3"/>
  <cols>
    <col min="1" max="1" width="51.77734375" style="5" customWidth="1"/>
    <col min="2" max="2" width="8.77734375" style="5" customWidth="1"/>
    <col min="3" max="3" width="111.5546875" style="5" bestFit="1" customWidth="1"/>
    <col min="4" max="4" width="21.5546875" style="5" bestFit="1" customWidth="1"/>
    <col min="5" max="5" width="10.21875" style="43" customWidth="1"/>
    <col min="6" max="6" width="11.77734375" style="5" customWidth="1"/>
    <col min="7" max="7" width="15" style="5" customWidth="1"/>
    <col min="8" max="8" width="8.77734375" style="43" customWidth="1"/>
    <col min="9" max="9" width="11.77734375" style="5" customWidth="1"/>
    <col min="10" max="10" width="13.21875" style="5" customWidth="1"/>
    <col min="11" max="11" width="8.77734375" style="43" customWidth="1"/>
    <col min="12" max="12" width="11.77734375" style="5" customWidth="1"/>
    <col min="13" max="13" width="13.21875" style="5" customWidth="1"/>
    <col min="14" max="14" width="8.77734375" style="43" customWidth="1"/>
    <col min="15" max="15" width="11.77734375" style="5" customWidth="1"/>
    <col min="16" max="16" width="13.21875" style="5" customWidth="1"/>
    <col min="17" max="17" width="10.77734375" style="18" customWidth="1"/>
    <col min="18" max="18" width="14.44140625" style="18" customWidth="1"/>
    <col min="19" max="19" width="15.77734375" style="135" customWidth="1"/>
    <col min="20" max="16384" width="11.21875" style="5"/>
  </cols>
  <sheetData>
    <row r="1" spans="1:19" x14ac:dyDescent="0.3">
      <c r="A1" s="3"/>
      <c r="B1" s="1"/>
      <c r="C1" s="1"/>
      <c r="D1" s="1"/>
      <c r="E1" s="36"/>
      <c r="F1" s="1"/>
      <c r="G1" s="1"/>
      <c r="H1" s="36"/>
      <c r="I1" s="1"/>
      <c r="J1" s="1"/>
      <c r="K1" s="36"/>
      <c r="L1" s="1"/>
      <c r="M1" s="1"/>
      <c r="N1" s="36"/>
      <c r="O1" s="1"/>
      <c r="P1" s="1"/>
      <c r="Q1" s="3"/>
      <c r="R1" s="3"/>
    </row>
    <row r="2" spans="1:19" ht="15" customHeight="1" x14ac:dyDescent="0.3">
      <c r="A2" s="3"/>
      <c r="B2" s="1"/>
      <c r="C2" s="1"/>
      <c r="D2" s="1"/>
      <c r="H2" s="36"/>
      <c r="I2" s="36"/>
      <c r="J2" s="36"/>
      <c r="K2" s="36"/>
      <c r="L2" s="36"/>
      <c r="M2" s="36"/>
      <c r="N2" s="36"/>
      <c r="O2" s="1"/>
      <c r="P2" s="1"/>
      <c r="Q2" s="3"/>
      <c r="R2" s="6">
        <f ca="1">NOW()</f>
        <v>45811.527532523149</v>
      </c>
    </row>
    <row r="3" spans="1:19" ht="15" customHeight="1" x14ac:dyDescent="0.3">
      <c r="A3" s="104" t="s">
        <v>32</v>
      </c>
      <c r="B3" s="113"/>
      <c r="C3" s="1"/>
      <c r="D3" s="1"/>
      <c r="H3" s="36"/>
      <c r="I3" s="36"/>
      <c r="J3" s="36"/>
      <c r="K3" s="36"/>
      <c r="L3" s="36"/>
      <c r="M3" s="36"/>
      <c r="N3" s="36"/>
      <c r="O3" s="1"/>
      <c r="P3" s="1"/>
      <c r="Q3" s="3"/>
    </row>
    <row r="4" spans="1:19" ht="15" customHeight="1" x14ac:dyDescent="0.3">
      <c r="A4" s="104" t="s">
        <v>26</v>
      </c>
      <c r="B4" s="113"/>
      <c r="C4" s="1"/>
      <c r="D4" s="1"/>
      <c r="H4" s="36"/>
      <c r="I4" s="36"/>
      <c r="J4" s="36"/>
      <c r="K4" s="36"/>
      <c r="L4" s="36"/>
      <c r="M4" s="36"/>
      <c r="N4" s="36"/>
      <c r="O4" s="1"/>
      <c r="P4" s="1"/>
      <c r="Q4" s="3"/>
      <c r="R4" s="7"/>
    </row>
    <row r="5" spans="1:19" ht="15" customHeight="1" x14ac:dyDescent="0.3">
      <c r="A5" s="104" t="s">
        <v>197</v>
      </c>
      <c r="B5" s="113"/>
      <c r="C5" s="2"/>
      <c r="D5" s="2"/>
      <c r="H5" s="36"/>
      <c r="I5" s="36"/>
      <c r="J5" s="36"/>
      <c r="K5" s="36"/>
      <c r="L5" s="36"/>
      <c r="M5" s="36"/>
      <c r="N5" s="36"/>
      <c r="O5" s="1"/>
      <c r="P5" s="1"/>
      <c r="Q5" s="3"/>
      <c r="R5" s="3"/>
    </row>
    <row r="6" spans="1:19" x14ac:dyDescent="0.3">
      <c r="A6" s="104" t="s">
        <v>99</v>
      </c>
      <c r="B6" s="113"/>
      <c r="C6" s="1"/>
      <c r="D6" s="1"/>
      <c r="H6" s="36"/>
      <c r="I6" s="1"/>
      <c r="J6" s="1"/>
      <c r="K6" s="36"/>
      <c r="L6" s="1"/>
      <c r="M6" s="1"/>
      <c r="N6" s="36"/>
      <c r="O6" s="1"/>
      <c r="P6" s="1"/>
      <c r="Q6" s="3"/>
      <c r="R6" s="7"/>
    </row>
    <row r="7" spans="1:19" x14ac:dyDescent="0.3">
      <c r="A7" s="107" t="s">
        <v>144</v>
      </c>
      <c r="B7" s="108">
        <v>0.35</v>
      </c>
      <c r="C7" s="74" t="s">
        <v>40</v>
      </c>
      <c r="D7" s="1"/>
      <c r="E7" s="176" t="s">
        <v>88</v>
      </c>
      <c r="F7" s="187"/>
      <c r="G7" s="188"/>
      <c r="H7" s="36"/>
      <c r="I7" s="1"/>
      <c r="J7" s="1"/>
      <c r="K7" s="36"/>
      <c r="L7" s="1"/>
      <c r="M7" s="1"/>
      <c r="N7" s="36"/>
      <c r="O7" s="1"/>
      <c r="P7" s="1"/>
      <c r="Q7" s="3"/>
      <c r="R7" s="7"/>
    </row>
    <row r="8" spans="1:19" x14ac:dyDescent="0.3">
      <c r="A8" s="48" t="s">
        <v>145</v>
      </c>
      <c r="B8" s="109">
        <v>0.17499999999999999</v>
      </c>
      <c r="C8" s="71" t="s">
        <v>40</v>
      </c>
      <c r="D8" s="1"/>
      <c r="E8" s="120" t="s">
        <v>201</v>
      </c>
      <c r="F8" s="175">
        <f>G169</f>
        <v>44217.599999999999</v>
      </c>
      <c r="G8" s="184"/>
      <c r="H8" s="36"/>
      <c r="I8" s="1"/>
      <c r="J8" s="1"/>
      <c r="K8" s="36"/>
      <c r="L8" s="1"/>
      <c r="M8" s="1"/>
      <c r="N8" s="36"/>
      <c r="O8" s="1"/>
      <c r="P8" s="1"/>
      <c r="Q8" s="3"/>
      <c r="R8" s="7"/>
    </row>
    <row r="9" spans="1:19" x14ac:dyDescent="0.3">
      <c r="A9" s="48" t="s">
        <v>157</v>
      </c>
      <c r="B9" s="109">
        <v>0.12</v>
      </c>
      <c r="C9" s="71" t="s">
        <v>40</v>
      </c>
      <c r="D9" s="1"/>
      <c r="E9" s="120" t="s">
        <v>46</v>
      </c>
      <c r="F9" s="179">
        <f>J169</f>
        <v>178095.92499999999</v>
      </c>
      <c r="G9" s="180"/>
      <c r="H9" s="36"/>
      <c r="I9" s="1"/>
      <c r="J9" s="1"/>
      <c r="K9" s="36"/>
      <c r="L9" s="1"/>
      <c r="M9" s="1"/>
      <c r="N9" s="36"/>
      <c r="O9" s="1"/>
      <c r="P9" s="1"/>
      <c r="Q9" s="3"/>
      <c r="R9" s="7"/>
    </row>
    <row r="10" spans="1:19" x14ac:dyDescent="0.3">
      <c r="A10" s="48" t="s">
        <v>146</v>
      </c>
      <c r="B10" s="109">
        <v>0.03</v>
      </c>
      <c r="C10" s="71" t="s">
        <v>45</v>
      </c>
      <c r="D10" s="1"/>
      <c r="E10" s="120" t="s">
        <v>43</v>
      </c>
      <c r="F10" s="179">
        <f>M169</f>
        <v>153869.16399999999</v>
      </c>
      <c r="G10" s="180"/>
      <c r="H10" s="36"/>
      <c r="I10" s="1"/>
      <c r="J10" s="1"/>
      <c r="K10" s="36"/>
      <c r="L10" s="1"/>
      <c r="M10" s="1"/>
      <c r="N10" s="36"/>
      <c r="O10" s="1"/>
      <c r="P10" s="1"/>
      <c r="Q10" s="3"/>
      <c r="R10" s="7"/>
    </row>
    <row r="11" spans="1:19" ht="16.2" thickBot="1" x14ac:dyDescent="0.35">
      <c r="A11" s="48" t="s">
        <v>186</v>
      </c>
      <c r="B11" s="110">
        <v>1</v>
      </c>
      <c r="C11" s="71" t="s">
        <v>87</v>
      </c>
      <c r="D11" s="1"/>
      <c r="E11" s="121" t="s">
        <v>44</v>
      </c>
      <c r="F11" s="181">
        <f>P169</f>
        <v>169885.965</v>
      </c>
      <c r="G11" s="182"/>
      <c r="H11" s="36"/>
      <c r="I11" s="1"/>
      <c r="J11" s="1"/>
      <c r="K11" s="36"/>
      <c r="L11" s="1"/>
      <c r="M11" s="1"/>
      <c r="N11" s="36"/>
      <c r="O11" s="1"/>
      <c r="P11" s="1"/>
      <c r="Q11" s="3"/>
      <c r="R11" s="7"/>
    </row>
    <row r="12" spans="1:19" ht="16.2" thickTop="1" x14ac:dyDescent="0.3">
      <c r="A12" s="48" t="s">
        <v>62</v>
      </c>
      <c r="B12" s="113">
        <v>3</v>
      </c>
      <c r="C12" s="71" t="s">
        <v>86</v>
      </c>
      <c r="D12" s="1"/>
      <c r="E12" s="122" t="s">
        <v>60</v>
      </c>
      <c r="F12" s="189">
        <f>R169</f>
        <v>546068.65399999998</v>
      </c>
      <c r="G12" s="190"/>
      <c r="H12" s="36"/>
      <c r="I12" s="1"/>
      <c r="J12" s="1"/>
      <c r="K12" s="36"/>
      <c r="L12" s="1"/>
      <c r="M12" s="1"/>
      <c r="N12" s="36"/>
      <c r="O12" s="1"/>
      <c r="P12" s="1"/>
      <c r="Q12" s="3"/>
      <c r="R12" s="7"/>
    </row>
    <row r="13" spans="1:19" x14ac:dyDescent="0.3">
      <c r="A13" s="48" t="s">
        <v>121</v>
      </c>
      <c r="B13" s="110" t="s">
        <v>84</v>
      </c>
      <c r="C13" s="71" t="s">
        <v>120</v>
      </c>
      <c r="D13" s="1"/>
      <c r="E13" s="5"/>
      <c r="H13" s="36"/>
      <c r="I13" s="1"/>
      <c r="J13" s="1"/>
      <c r="K13" s="36"/>
      <c r="L13" s="1"/>
      <c r="M13" s="1"/>
      <c r="N13" s="36"/>
      <c r="O13" s="1"/>
      <c r="P13" s="1"/>
      <c r="Q13" s="3"/>
      <c r="R13" s="7"/>
    </row>
    <row r="14" spans="1:19" x14ac:dyDescent="0.3">
      <c r="A14" s="48" t="s">
        <v>92</v>
      </c>
      <c r="B14" s="110" t="s">
        <v>84</v>
      </c>
      <c r="C14" s="71" t="s">
        <v>120</v>
      </c>
      <c r="D14" s="1"/>
      <c r="E14" s="36"/>
      <c r="F14" s="1"/>
      <c r="G14" s="1"/>
      <c r="H14" s="36"/>
      <c r="I14" s="1"/>
      <c r="J14" s="1"/>
      <c r="K14" s="36"/>
      <c r="L14" s="1"/>
      <c r="M14" s="1"/>
      <c r="N14" s="36"/>
      <c r="O14" s="1"/>
      <c r="P14" s="1"/>
      <c r="Q14" s="3"/>
      <c r="R14" s="7"/>
    </row>
    <row r="15" spans="1:19" x14ac:dyDescent="0.3">
      <c r="A15" s="125" t="s">
        <v>130</v>
      </c>
      <c r="B15" s="126" t="s">
        <v>84</v>
      </c>
      <c r="C15" s="134" t="s">
        <v>120</v>
      </c>
      <c r="D15" s="1"/>
      <c r="E15" s="36"/>
      <c r="F15" s="1"/>
      <c r="G15" s="1"/>
      <c r="H15" s="36"/>
      <c r="I15" s="1"/>
      <c r="J15" s="1"/>
      <c r="K15" s="36"/>
      <c r="L15" s="1"/>
      <c r="M15" s="1"/>
      <c r="N15" s="36"/>
      <c r="O15" s="1"/>
      <c r="P15" s="1"/>
      <c r="Q15" s="3"/>
      <c r="R15" s="7"/>
    </row>
    <row r="16" spans="1:19" s="18" customFormat="1" x14ac:dyDescent="0.3">
      <c r="A16" s="49"/>
      <c r="B16" s="49"/>
      <c r="C16" s="3"/>
      <c r="D16" s="3"/>
      <c r="E16" s="172" t="s">
        <v>0</v>
      </c>
      <c r="F16" s="172"/>
      <c r="G16" s="172"/>
      <c r="H16" s="172"/>
      <c r="I16" s="172"/>
      <c r="J16" s="172"/>
      <c r="K16" s="172" t="s">
        <v>1</v>
      </c>
      <c r="L16" s="172"/>
      <c r="M16" s="172"/>
      <c r="N16" s="172" t="s">
        <v>2</v>
      </c>
      <c r="O16" s="172"/>
      <c r="P16" s="172"/>
      <c r="Q16" s="3"/>
      <c r="R16" s="7"/>
      <c r="S16" s="135"/>
    </row>
    <row r="17" spans="1:19" x14ac:dyDescent="0.3">
      <c r="A17" s="91"/>
      <c r="B17" s="8"/>
      <c r="C17" s="8"/>
      <c r="D17" s="62" t="s">
        <v>37</v>
      </c>
      <c r="E17" s="80"/>
      <c r="F17" s="81"/>
      <c r="G17" s="74"/>
      <c r="H17" s="60"/>
      <c r="I17" s="8"/>
      <c r="J17" s="8"/>
      <c r="K17" s="80"/>
      <c r="L17" s="81"/>
      <c r="M17" s="74"/>
      <c r="N17" s="80"/>
      <c r="O17" s="81"/>
      <c r="P17" s="74"/>
      <c r="Q17" s="84"/>
      <c r="R17" s="9"/>
    </row>
    <row r="18" spans="1:19" x14ac:dyDescent="0.3">
      <c r="A18" s="92" t="s">
        <v>25</v>
      </c>
      <c r="B18" s="1"/>
      <c r="C18" s="1"/>
      <c r="D18" s="63" t="s">
        <v>36</v>
      </c>
      <c r="E18" s="40"/>
      <c r="F18" s="10" t="s">
        <v>201</v>
      </c>
      <c r="G18" s="71"/>
      <c r="H18" s="36"/>
      <c r="I18" s="10" t="s">
        <v>46</v>
      </c>
      <c r="J18" s="1"/>
      <c r="K18" s="40"/>
      <c r="L18" s="10" t="s">
        <v>43</v>
      </c>
      <c r="M18" s="71"/>
      <c r="N18" s="40"/>
      <c r="O18" s="10" t="s">
        <v>44</v>
      </c>
      <c r="P18" s="71"/>
      <c r="Q18" s="183" t="s">
        <v>3</v>
      </c>
      <c r="R18" s="183"/>
      <c r="S18" s="136" t="s">
        <v>41</v>
      </c>
    </row>
    <row r="19" spans="1:19" x14ac:dyDescent="0.3">
      <c r="A19" s="93"/>
      <c r="B19" s="11"/>
      <c r="C19" s="1"/>
      <c r="D19" s="63" t="s">
        <v>122</v>
      </c>
      <c r="E19" s="174" t="s">
        <v>4</v>
      </c>
      <c r="F19" s="174"/>
      <c r="G19" s="174"/>
      <c r="H19" s="174" t="s">
        <v>4</v>
      </c>
      <c r="I19" s="185"/>
      <c r="J19" s="186"/>
      <c r="K19" s="174" t="s">
        <v>4</v>
      </c>
      <c r="L19" s="174"/>
      <c r="M19" s="174"/>
      <c r="N19" s="174" t="s">
        <v>4</v>
      </c>
      <c r="O19" s="174"/>
      <c r="P19" s="174"/>
      <c r="Q19" s="173" t="s">
        <v>4</v>
      </c>
      <c r="R19" s="183"/>
      <c r="S19" s="136"/>
    </row>
    <row r="20" spans="1:19" ht="16.2" thickBot="1" x14ac:dyDescent="0.35">
      <c r="A20" s="94" t="s">
        <v>5</v>
      </c>
      <c r="B20" s="12"/>
      <c r="C20" s="12"/>
      <c r="D20" s="64" t="s">
        <v>147</v>
      </c>
      <c r="E20" s="67" t="s">
        <v>6</v>
      </c>
      <c r="F20" s="13" t="s">
        <v>7</v>
      </c>
      <c r="G20" s="72" t="s">
        <v>8</v>
      </c>
      <c r="H20" s="61" t="s">
        <v>6</v>
      </c>
      <c r="I20" s="13" t="s">
        <v>7</v>
      </c>
      <c r="J20" s="13" t="s">
        <v>8</v>
      </c>
      <c r="K20" s="67" t="s">
        <v>6</v>
      </c>
      <c r="L20" s="13" t="s">
        <v>7</v>
      </c>
      <c r="M20" s="72" t="s">
        <v>8</v>
      </c>
      <c r="N20" s="67" t="s">
        <v>6</v>
      </c>
      <c r="O20" s="13" t="s">
        <v>7</v>
      </c>
      <c r="P20" s="72" t="s">
        <v>8</v>
      </c>
      <c r="Q20" s="85" t="s">
        <v>6</v>
      </c>
      <c r="R20" s="14" t="s">
        <v>8</v>
      </c>
    </row>
    <row r="21" spans="1:19" ht="16.2" thickTop="1" x14ac:dyDescent="0.3">
      <c r="A21" s="93"/>
      <c r="B21" s="11"/>
      <c r="C21" s="1"/>
      <c r="D21" s="63"/>
      <c r="E21" s="40"/>
      <c r="F21" s="11"/>
      <c r="G21" s="73"/>
      <c r="H21" s="69"/>
      <c r="I21" s="11"/>
      <c r="J21" s="11"/>
      <c r="K21" s="68"/>
      <c r="L21" s="11"/>
      <c r="M21" s="73"/>
      <c r="N21" s="68"/>
      <c r="O21" s="11"/>
      <c r="P21" s="73"/>
      <c r="Q21" s="3"/>
      <c r="R21" s="46"/>
      <c r="S21" s="136"/>
    </row>
    <row r="22" spans="1:19" x14ac:dyDescent="0.3">
      <c r="A22" s="30" t="s">
        <v>55</v>
      </c>
      <c r="B22" s="1"/>
      <c r="C22" s="1"/>
      <c r="D22" s="63"/>
      <c r="E22" s="40"/>
      <c r="F22" s="1"/>
      <c r="G22" s="71"/>
      <c r="H22" s="36"/>
      <c r="I22" s="1"/>
      <c r="J22" s="1"/>
      <c r="K22" s="40"/>
      <c r="L22" s="1"/>
      <c r="M22" s="71"/>
      <c r="N22" s="40"/>
      <c r="O22" s="1"/>
      <c r="P22" s="71"/>
      <c r="Q22" s="2"/>
      <c r="R22" s="3"/>
      <c r="S22" s="136"/>
    </row>
    <row r="23" spans="1:19" x14ac:dyDescent="0.3">
      <c r="A23" s="30"/>
      <c r="B23" s="1"/>
      <c r="C23" s="1"/>
      <c r="D23" s="63"/>
      <c r="E23" s="82" t="s">
        <v>4</v>
      </c>
      <c r="F23" s="1"/>
      <c r="G23" s="71"/>
      <c r="H23" s="36"/>
      <c r="I23" s="1"/>
      <c r="J23" s="1"/>
      <c r="K23" s="40"/>
      <c r="L23" s="1"/>
      <c r="M23" s="71"/>
      <c r="N23" s="40"/>
      <c r="O23" s="1"/>
      <c r="P23" s="71"/>
      <c r="Q23" s="86" t="s">
        <v>4</v>
      </c>
      <c r="R23" s="3"/>
      <c r="S23" s="136"/>
    </row>
    <row r="24" spans="1:19" x14ac:dyDescent="0.3">
      <c r="A24" s="30" t="s">
        <v>148</v>
      </c>
      <c r="B24" s="1"/>
      <c r="C24" s="1"/>
      <c r="D24" s="63"/>
      <c r="E24" s="37"/>
      <c r="F24" s="16"/>
      <c r="G24" s="25"/>
      <c r="H24" s="39"/>
      <c r="I24" s="16"/>
      <c r="J24" s="16"/>
      <c r="K24" s="37"/>
      <c r="L24" s="16"/>
      <c r="M24" s="25"/>
      <c r="N24" s="37"/>
      <c r="O24" s="16"/>
      <c r="P24" s="25"/>
      <c r="Q24" s="39"/>
      <c r="R24" s="17"/>
      <c r="S24" s="136"/>
    </row>
    <row r="25" spans="1:19" x14ac:dyDescent="0.3">
      <c r="A25" s="28" t="s">
        <v>72</v>
      </c>
      <c r="B25" s="1"/>
      <c r="C25" s="1" t="s">
        <v>102</v>
      </c>
      <c r="D25" s="63" t="s">
        <v>156</v>
      </c>
      <c r="E25" s="37">
        <v>0</v>
      </c>
      <c r="F25" s="16">
        <v>500</v>
      </c>
      <c r="G25" s="25">
        <f t="shared" ref="G25:G28" si="0">ROUND((+E25*F25),0)</f>
        <v>0</v>
      </c>
      <c r="H25" s="37">
        <v>20</v>
      </c>
      <c r="I25" s="16">
        <f t="shared" ref="I25:I28" si="1">F25</f>
        <v>500</v>
      </c>
      <c r="J25" s="16">
        <f t="shared" ref="J25:J28" si="2">ROUND((+H25*I25),0)</f>
        <v>10000</v>
      </c>
      <c r="K25" s="37">
        <v>20</v>
      </c>
      <c r="L25" s="16">
        <f t="shared" ref="L25:L28" si="3">I25*(1+$B$10)</f>
        <v>515</v>
      </c>
      <c r="M25" s="25">
        <f t="shared" ref="M25:M28" si="4">ROUND((+K25*L25),0)</f>
        <v>10300</v>
      </c>
      <c r="N25" s="37">
        <v>20</v>
      </c>
      <c r="O25" s="16">
        <f t="shared" ref="O25:O28" si="5">L25*(1+$B$10)</f>
        <v>530.45000000000005</v>
      </c>
      <c r="P25" s="25">
        <f t="shared" ref="P25:P28" si="6">ROUND((+N25*O25),0)</f>
        <v>10609</v>
      </c>
      <c r="Q25" s="39">
        <f t="shared" ref="Q25:Q28" si="7">E25+H25+K25+N25</f>
        <v>60</v>
      </c>
      <c r="R25" s="17">
        <f t="shared" ref="R25:R28" si="8">G25+J25+M25+P25</f>
        <v>30909</v>
      </c>
      <c r="S25" s="92"/>
    </row>
    <row r="26" spans="1:19" x14ac:dyDescent="0.3">
      <c r="A26" s="28" t="s">
        <v>73</v>
      </c>
      <c r="B26" s="1"/>
      <c r="C26" s="1" t="s">
        <v>123</v>
      </c>
      <c r="D26" s="63" t="s">
        <v>156</v>
      </c>
      <c r="E26" s="37">
        <v>0</v>
      </c>
      <c r="F26" s="16">
        <v>300</v>
      </c>
      <c r="G26" s="25">
        <f t="shared" si="0"/>
        <v>0</v>
      </c>
      <c r="H26" s="37">
        <v>25</v>
      </c>
      <c r="I26" s="16">
        <f t="shared" si="1"/>
        <v>300</v>
      </c>
      <c r="J26" s="16">
        <f t="shared" si="2"/>
        <v>7500</v>
      </c>
      <c r="K26" s="37">
        <v>25</v>
      </c>
      <c r="L26" s="16">
        <f t="shared" si="3"/>
        <v>309</v>
      </c>
      <c r="M26" s="25">
        <f t="shared" si="4"/>
        <v>7725</v>
      </c>
      <c r="N26" s="37">
        <v>25</v>
      </c>
      <c r="O26" s="16">
        <f t="shared" si="5"/>
        <v>318.27</v>
      </c>
      <c r="P26" s="25">
        <f t="shared" si="6"/>
        <v>7957</v>
      </c>
      <c r="Q26" s="39">
        <f t="shared" si="7"/>
        <v>75</v>
      </c>
      <c r="R26" s="17">
        <f t="shared" si="8"/>
        <v>23182</v>
      </c>
      <c r="S26" s="92"/>
    </row>
    <row r="27" spans="1:19" x14ac:dyDescent="0.3">
      <c r="A27" s="28" t="s">
        <v>75</v>
      </c>
      <c r="B27" s="1"/>
      <c r="C27" s="1" t="s">
        <v>103</v>
      </c>
      <c r="D27" s="63" t="s">
        <v>156</v>
      </c>
      <c r="E27" s="37">
        <v>0</v>
      </c>
      <c r="F27" s="16">
        <v>250</v>
      </c>
      <c r="G27" s="25">
        <f t="shared" si="0"/>
        <v>0</v>
      </c>
      <c r="H27" s="37">
        <v>10</v>
      </c>
      <c r="I27" s="16">
        <f t="shared" si="1"/>
        <v>250</v>
      </c>
      <c r="J27" s="16">
        <f t="shared" si="2"/>
        <v>2500</v>
      </c>
      <c r="K27" s="37">
        <v>10</v>
      </c>
      <c r="L27" s="16">
        <f t="shared" si="3"/>
        <v>257.5</v>
      </c>
      <c r="M27" s="25">
        <f t="shared" si="4"/>
        <v>2575</v>
      </c>
      <c r="N27" s="37">
        <v>10</v>
      </c>
      <c r="O27" s="16">
        <f t="shared" si="5"/>
        <v>265.22500000000002</v>
      </c>
      <c r="P27" s="25">
        <f t="shared" si="6"/>
        <v>2652</v>
      </c>
      <c r="Q27" s="39">
        <f t="shared" si="7"/>
        <v>30</v>
      </c>
      <c r="R27" s="17">
        <f t="shared" si="8"/>
        <v>7727</v>
      </c>
      <c r="S27" s="92"/>
    </row>
    <row r="28" spans="1:19" x14ac:dyDescent="0.3">
      <c r="A28" s="28" t="s">
        <v>9</v>
      </c>
      <c r="B28" s="1"/>
      <c r="C28" s="1" t="s">
        <v>104</v>
      </c>
      <c r="D28" s="63" t="s">
        <v>156</v>
      </c>
      <c r="E28" s="37">
        <v>0</v>
      </c>
      <c r="F28" s="16">
        <v>250</v>
      </c>
      <c r="G28" s="25">
        <f t="shared" si="0"/>
        <v>0</v>
      </c>
      <c r="H28" s="37">
        <v>2</v>
      </c>
      <c r="I28" s="16">
        <f t="shared" si="1"/>
        <v>250</v>
      </c>
      <c r="J28" s="16">
        <f t="shared" si="2"/>
        <v>500</v>
      </c>
      <c r="K28" s="37">
        <v>2</v>
      </c>
      <c r="L28" s="16">
        <f t="shared" si="3"/>
        <v>257.5</v>
      </c>
      <c r="M28" s="25">
        <f t="shared" si="4"/>
        <v>515</v>
      </c>
      <c r="N28" s="37">
        <v>2</v>
      </c>
      <c r="O28" s="16">
        <f t="shared" si="5"/>
        <v>265.22500000000002</v>
      </c>
      <c r="P28" s="25">
        <f t="shared" si="6"/>
        <v>530</v>
      </c>
      <c r="Q28" s="39">
        <f t="shared" si="7"/>
        <v>6</v>
      </c>
      <c r="R28" s="17">
        <f t="shared" si="8"/>
        <v>1545</v>
      </c>
      <c r="S28" s="92"/>
    </row>
    <row r="29" spans="1:19" x14ac:dyDescent="0.3">
      <c r="A29" s="30"/>
      <c r="B29" s="1"/>
      <c r="C29" s="1"/>
      <c r="D29" s="63"/>
      <c r="E29" s="37"/>
      <c r="F29" s="16"/>
      <c r="G29" s="25"/>
      <c r="H29" s="39"/>
      <c r="I29" s="16"/>
      <c r="J29" s="16"/>
      <c r="K29" s="37"/>
      <c r="L29" s="16"/>
      <c r="M29" s="25"/>
      <c r="N29" s="37"/>
      <c r="O29" s="16"/>
      <c r="P29" s="25"/>
      <c r="Q29" s="39"/>
      <c r="R29" s="17"/>
      <c r="S29" s="136"/>
    </row>
    <row r="30" spans="1:19" s="18" customFormat="1" x14ac:dyDescent="0.3">
      <c r="A30" s="90" t="s">
        <v>150</v>
      </c>
      <c r="B30" s="3"/>
      <c r="C30" s="3"/>
      <c r="D30" s="65"/>
      <c r="E30" s="37"/>
      <c r="F30" s="17"/>
      <c r="G30" s="35">
        <f>SUM(G25:G29)</f>
        <v>0</v>
      </c>
      <c r="H30" s="39"/>
      <c r="I30" s="17"/>
      <c r="J30" s="17">
        <f>SUM(J25:J29)</f>
        <v>20500</v>
      </c>
      <c r="K30" s="37"/>
      <c r="L30" s="17"/>
      <c r="M30" s="35">
        <f>SUM(M25:M29)</f>
        <v>21115</v>
      </c>
      <c r="N30" s="37"/>
      <c r="O30" s="17"/>
      <c r="P30" s="35">
        <f>SUM(P25:P29)</f>
        <v>21748</v>
      </c>
      <c r="Q30" s="32"/>
      <c r="R30" s="17">
        <f>SUM(R25:R29)</f>
        <v>63363</v>
      </c>
      <c r="S30" s="136">
        <f>G30+J30+M30+P30</f>
        <v>63363</v>
      </c>
    </row>
    <row r="31" spans="1:19" s="18" customFormat="1" x14ac:dyDescent="0.3">
      <c r="A31" s="90"/>
      <c r="B31" s="3"/>
      <c r="C31" s="3"/>
      <c r="D31" s="65"/>
      <c r="E31" s="37"/>
      <c r="F31" s="17"/>
      <c r="G31" s="35"/>
      <c r="H31" s="39"/>
      <c r="I31" s="17"/>
      <c r="J31" s="17"/>
      <c r="K31" s="37"/>
      <c r="L31" s="17"/>
      <c r="M31" s="35"/>
      <c r="N31" s="37"/>
      <c r="O31" s="17"/>
      <c r="P31" s="35"/>
      <c r="Q31" s="32"/>
      <c r="R31" s="17"/>
      <c r="S31" s="136"/>
    </row>
    <row r="32" spans="1:19" x14ac:dyDescent="0.3">
      <c r="A32" s="30" t="s">
        <v>149</v>
      </c>
      <c r="B32" s="1"/>
      <c r="C32" s="1"/>
      <c r="D32" s="63"/>
      <c r="E32" s="37"/>
      <c r="F32" s="16"/>
      <c r="G32" s="25"/>
      <c r="H32" s="39"/>
      <c r="I32" s="16"/>
      <c r="J32" s="16"/>
      <c r="K32" s="37"/>
      <c r="L32" s="16"/>
      <c r="M32" s="25"/>
      <c r="N32" s="37"/>
      <c r="O32" s="16"/>
      <c r="P32" s="25"/>
      <c r="Q32" s="87"/>
      <c r="R32" s="17"/>
      <c r="S32" s="136"/>
    </row>
    <row r="33" spans="1:19" x14ac:dyDescent="0.3">
      <c r="A33" s="28" t="s">
        <v>89</v>
      </c>
      <c r="B33" s="1"/>
      <c r="C33" s="1" t="s">
        <v>124</v>
      </c>
      <c r="D33" s="63" t="s">
        <v>156</v>
      </c>
      <c r="E33" s="37">
        <v>0</v>
      </c>
      <c r="F33" s="16">
        <v>250</v>
      </c>
      <c r="G33" s="25">
        <f t="shared" ref="G33:G35" si="9">ROUND((+E33*F33),0)</f>
        <v>0</v>
      </c>
      <c r="H33" s="39">
        <v>25</v>
      </c>
      <c r="I33" s="16">
        <f t="shared" ref="I33:I35" si="10">F33</f>
        <v>250</v>
      </c>
      <c r="J33" s="16">
        <f t="shared" ref="J33:J35" si="11">ROUND((+H33*I33),0)</f>
        <v>6250</v>
      </c>
      <c r="K33" s="37">
        <v>25</v>
      </c>
      <c r="L33" s="16">
        <f t="shared" ref="L33:L35" si="12">I33*(1+$B$10)</f>
        <v>257.5</v>
      </c>
      <c r="M33" s="25">
        <f t="shared" ref="M33:M35" si="13">ROUND((+K33*L33),0)</f>
        <v>6438</v>
      </c>
      <c r="N33" s="37">
        <v>25</v>
      </c>
      <c r="O33" s="16">
        <f t="shared" ref="O33:O35" si="14">L33*(1+$B$10)</f>
        <v>265.22500000000002</v>
      </c>
      <c r="P33" s="25">
        <f t="shared" ref="P33:P35" si="15">ROUND((+N33*O33),0)</f>
        <v>6631</v>
      </c>
      <c r="Q33" s="39">
        <f t="shared" ref="Q33:Q35" si="16">E33+H33+K33+N33</f>
        <v>75</v>
      </c>
      <c r="R33" s="17">
        <f t="shared" ref="R33:R35" si="17">G33+J33+M33+P33</f>
        <v>19319</v>
      </c>
      <c r="S33" s="92"/>
    </row>
    <row r="34" spans="1:19" x14ac:dyDescent="0.3">
      <c r="A34" s="28" t="s">
        <v>24</v>
      </c>
      <c r="B34" s="1"/>
      <c r="C34" s="1" t="s">
        <v>105</v>
      </c>
      <c r="D34" s="63" t="s">
        <v>156</v>
      </c>
      <c r="E34" s="37">
        <v>0</v>
      </c>
      <c r="F34" s="16">
        <v>150</v>
      </c>
      <c r="G34" s="25">
        <f t="shared" si="9"/>
        <v>0</v>
      </c>
      <c r="H34" s="39">
        <v>12</v>
      </c>
      <c r="I34" s="16">
        <f t="shared" si="10"/>
        <v>150</v>
      </c>
      <c r="J34" s="16">
        <f t="shared" si="11"/>
        <v>1800</v>
      </c>
      <c r="K34" s="37">
        <v>12</v>
      </c>
      <c r="L34" s="16">
        <f t="shared" si="12"/>
        <v>154.5</v>
      </c>
      <c r="M34" s="25">
        <f t="shared" si="13"/>
        <v>1854</v>
      </c>
      <c r="N34" s="37">
        <v>12</v>
      </c>
      <c r="O34" s="16">
        <f t="shared" si="14"/>
        <v>159.13499999999999</v>
      </c>
      <c r="P34" s="25">
        <f t="shared" si="15"/>
        <v>1910</v>
      </c>
      <c r="Q34" s="39">
        <f t="shared" si="16"/>
        <v>36</v>
      </c>
      <c r="R34" s="17">
        <f t="shared" si="17"/>
        <v>5564</v>
      </c>
      <c r="S34" s="92"/>
    </row>
    <row r="35" spans="1:19" x14ac:dyDescent="0.3">
      <c r="A35" s="28" t="s">
        <v>9</v>
      </c>
      <c r="B35" s="1"/>
      <c r="C35" s="1" t="s">
        <v>106</v>
      </c>
      <c r="D35" s="63" t="s">
        <v>156</v>
      </c>
      <c r="E35" s="37">
        <v>0</v>
      </c>
      <c r="F35" s="16">
        <v>150</v>
      </c>
      <c r="G35" s="25">
        <f t="shared" si="9"/>
        <v>0</v>
      </c>
      <c r="H35" s="39">
        <v>5</v>
      </c>
      <c r="I35" s="16">
        <f t="shared" si="10"/>
        <v>150</v>
      </c>
      <c r="J35" s="16">
        <f t="shared" si="11"/>
        <v>750</v>
      </c>
      <c r="K35" s="37">
        <v>5</v>
      </c>
      <c r="L35" s="16">
        <f t="shared" si="12"/>
        <v>154.5</v>
      </c>
      <c r="M35" s="25">
        <f t="shared" si="13"/>
        <v>773</v>
      </c>
      <c r="N35" s="37">
        <v>5</v>
      </c>
      <c r="O35" s="16">
        <f t="shared" si="14"/>
        <v>159.13499999999999</v>
      </c>
      <c r="P35" s="25">
        <f t="shared" si="15"/>
        <v>796</v>
      </c>
      <c r="Q35" s="39">
        <f t="shared" si="16"/>
        <v>15</v>
      </c>
      <c r="R35" s="17">
        <f t="shared" si="17"/>
        <v>2319</v>
      </c>
      <c r="S35" s="92"/>
    </row>
    <row r="36" spans="1:19" x14ac:dyDescent="0.3">
      <c r="A36" s="28" t="s">
        <v>74</v>
      </c>
      <c r="B36" s="1"/>
      <c r="C36" s="1" t="s">
        <v>107</v>
      </c>
      <c r="D36" s="63" t="s">
        <v>156</v>
      </c>
      <c r="E36" s="38">
        <v>0</v>
      </c>
      <c r="F36" s="16">
        <v>120</v>
      </c>
      <c r="G36" s="25">
        <f>ROUND((+E36*F36),0)</f>
        <v>0</v>
      </c>
      <c r="H36" s="39">
        <v>3</v>
      </c>
      <c r="I36" s="16">
        <f>F36</f>
        <v>120</v>
      </c>
      <c r="J36" s="16">
        <f>ROUND((+H36*I36),0)</f>
        <v>360</v>
      </c>
      <c r="K36" s="37">
        <v>3</v>
      </c>
      <c r="L36" s="16">
        <f>I36*(1+$B$10)</f>
        <v>123.60000000000001</v>
      </c>
      <c r="M36" s="25">
        <f>ROUND((+K36*L36),0)</f>
        <v>371</v>
      </c>
      <c r="N36" s="37">
        <v>3</v>
      </c>
      <c r="O36" s="16">
        <f>L36*(1+$B$10)</f>
        <v>127.30800000000001</v>
      </c>
      <c r="P36" s="25">
        <f>ROUND((+N36*O36),0)</f>
        <v>382</v>
      </c>
      <c r="Q36" s="39">
        <f>E36+H36+K36+N36</f>
        <v>9</v>
      </c>
      <c r="R36" s="17">
        <f>G36+J36+M36+P36</f>
        <v>1113</v>
      </c>
      <c r="S36" s="92"/>
    </row>
    <row r="37" spans="1:19" x14ac:dyDescent="0.3">
      <c r="A37" s="144" t="s">
        <v>159</v>
      </c>
      <c r="B37" s="1"/>
      <c r="C37" s="1"/>
      <c r="D37" s="63"/>
      <c r="E37" s="38"/>
      <c r="F37" s="16"/>
      <c r="G37" s="25"/>
      <c r="H37" s="39"/>
      <c r="I37" s="16"/>
      <c r="J37" s="16"/>
      <c r="K37" s="37"/>
      <c r="L37" s="16"/>
      <c r="M37" s="25"/>
      <c r="N37" s="37"/>
      <c r="O37" s="16"/>
      <c r="P37" s="25"/>
      <c r="Q37" s="39"/>
      <c r="R37" s="17"/>
      <c r="S37" s="92"/>
    </row>
    <row r="38" spans="1:19" x14ac:dyDescent="0.3">
      <c r="A38" s="101" t="s">
        <v>108</v>
      </c>
      <c r="B38" s="102"/>
      <c r="C38" s="102" t="s">
        <v>141</v>
      </c>
      <c r="D38" s="103" t="s">
        <v>171</v>
      </c>
      <c r="E38" s="116">
        <v>0</v>
      </c>
      <c r="F38" s="16">
        <v>120</v>
      </c>
      <c r="G38" s="25">
        <f t="shared" ref="G38" si="18">ROUND((+E38*F38),0)</f>
        <v>0</v>
      </c>
      <c r="H38" s="116" t="str">
        <f>IF(B11=1, "60", "30")</f>
        <v>60</v>
      </c>
      <c r="I38" s="16">
        <f t="shared" ref="I38" si="19">F38</f>
        <v>120</v>
      </c>
      <c r="J38" s="16">
        <f t="shared" ref="J38" si="20">ROUND((+H38*I38),0)</f>
        <v>7200</v>
      </c>
      <c r="K38" s="116" t="str">
        <f>IF(B11=1, "60", "30")</f>
        <v>60</v>
      </c>
      <c r="L38" s="16">
        <f t="shared" ref="L38" si="21">I38*(1+$B$10)</f>
        <v>123.60000000000001</v>
      </c>
      <c r="M38" s="25">
        <f t="shared" ref="M38" si="22">ROUND((+K38*L38),0)</f>
        <v>7416</v>
      </c>
      <c r="N38" s="116" t="str">
        <f>IF(B11=1, "60", "30")</f>
        <v>60</v>
      </c>
      <c r="O38" s="16">
        <f t="shared" ref="O38" si="23">L38*(1+$B$10)</f>
        <v>127.30800000000001</v>
      </c>
      <c r="P38" s="25">
        <f t="shared" ref="P38" si="24">ROUND((+N38*O38),0)</f>
        <v>7638</v>
      </c>
      <c r="Q38" s="39">
        <f t="shared" ref="Q38" si="25">E38+H38+K38+N38</f>
        <v>180</v>
      </c>
      <c r="R38" s="17">
        <f>G38+J38+M38+P38</f>
        <v>22254</v>
      </c>
      <c r="S38" s="92"/>
    </row>
    <row r="39" spans="1:19" x14ac:dyDescent="0.3">
      <c r="A39" s="101" t="s">
        <v>109</v>
      </c>
      <c r="B39" s="102"/>
      <c r="C39" s="102" t="s">
        <v>141</v>
      </c>
      <c r="D39" s="103" t="s">
        <v>171</v>
      </c>
      <c r="E39" s="116">
        <v>0</v>
      </c>
      <c r="F39" s="16">
        <v>120</v>
      </c>
      <c r="G39" s="25">
        <f t="shared" ref="G39:G43" si="26">ROUND((+E39*F39),0)</f>
        <v>0</v>
      </c>
      <c r="H39" s="116" t="str">
        <f>IF(B11=1, "60", "30")</f>
        <v>60</v>
      </c>
      <c r="I39" s="16">
        <f t="shared" ref="I39:I43" si="27">F39</f>
        <v>120</v>
      </c>
      <c r="J39" s="16">
        <f t="shared" ref="J39:J43" si="28">ROUND((+H39*I39),0)</f>
        <v>7200</v>
      </c>
      <c r="K39" s="116" t="str">
        <f>IF(B11=1, "60", "30")</f>
        <v>60</v>
      </c>
      <c r="L39" s="16">
        <f t="shared" ref="L39:L43" si="29">I39*(1+$B$10)</f>
        <v>123.60000000000001</v>
      </c>
      <c r="M39" s="25">
        <f t="shared" ref="M39:M43" si="30">ROUND((+K39*L39),0)</f>
        <v>7416</v>
      </c>
      <c r="N39" s="116" t="str">
        <f>IF(B11=1, "60", "30")</f>
        <v>60</v>
      </c>
      <c r="O39" s="16">
        <f t="shared" ref="O39:O43" si="31">L39*(1+$B$10)</f>
        <v>127.30800000000001</v>
      </c>
      <c r="P39" s="25">
        <f t="shared" ref="P39:P43" si="32">ROUND((+N39*O39),0)</f>
        <v>7638</v>
      </c>
      <c r="Q39" s="39">
        <f t="shared" ref="Q39:Q43" si="33">E39+H39+K39+N39</f>
        <v>180</v>
      </c>
      <c r="R39" s="17">
        <f>G39+J39+M39+P39</f>
        <v>22254</v>
      </c>
      <c r="S39" s="92"/>
    </row>
    <row r="40" spans="1:19" x14ac:dyDescent="0.3">
      <c r="A40" s="144" t="s">
        <v>160</v>
      </c>
      <c r="B40" s="1"/>
      <c r="C40" s="1"/>
      <c r="D40" s="63"/>
      <c r="E40" s="38"/>
      <c r="F40" s="16"/>
      <c r="G40" s="25"/>
      <c r="H40" s="38"/>
      <c r="I40" s="16"/>
      <c r="J40" s="16"/>
      <c r="K40" s="38"/>
      <c r="L40" s="16"/>
      <c r="M40" s="25"/>
      <c r="N40" s="38"/>
      <c r="O40" s="16"/>
      <c r="P40" s="25"/>
      <c r="Q40" s="39"/>
      <c r="R40" s="17"/>
      <c r="S40" s="92"/>
    </row>
    <row r="41" spans="1:19" x14ac:dyDescent="0.3">
      <c r="A41" s="101" t="s">
        <v>108</v>
      </c>
      <c r="B41" s="102"/>
      <c r="C41" s="102" t="s">
        <v>141</v>
      </c>
      <c r="D41" s="103" t="s">
        <v>171</v>
      </c>
      <c r="E41" s="116" t="str">
        <f>IF(B11=1, "0", "45")</f>
        <v>0</v>
      </c>
      <c r="F41" s="16">
        <v>120</v>
      </c>
      <c r="G41" s="25">
        <f t="shared" ref="G41:G42" si="34">ROUND((+E41*F41),0)</f>
        <v>0</v>
      </c>
      <c r="H41" s="116" t="str">
        <f>IF(B11=1, "0", "30")</f>
        <v>0</v>
      </c>
      <c r="I41" s="16">
        <f t="shared" ref="I41:I42" si="35">F41</f>
        <v>120</v>
      </c>
      <c r="J41" s="16">
        <f t="shared" ref="J41:J42" si="36">ROUND((+H41*I41),0)</f>
        <v>0</v>
      </c>
      <c r="K41" s="116" t="str">
        <f>IF(B11=1, "0", "30")</f>
        <v>0</v>
      </c>
      <c r="L41" s="16">
        <f t="shared" ref="L41:L42" si="37">I41*(1+$B$10)</f>
        <v>123.60000000000001</v>
      </c>
      <c r="M41" s="25">
        <f t="shared" ref="M41:M42" si="38">ROUND((+K41*L41),0)</f>
        <v>0</v>
      </c>
      <c r="N41" s="116" t="str">
        <f>IF(B11=1, "0", "30")</f>
        <v>0</v>
      </c>
      <c r="O41" s="16">
        <f t="shared" ref="O41:O42" si="39">L41*(1+$B$10)</f>
        <v>127.30800000000001</v>
      </c>
      <c r="P41" s="25">
        <f t="shared" ref="P41:P42" si="40">ROUND((+N41*O41),0)</f>
        <v>0</v>
      </c>
      <c r="Q41" s="39">
        <f t="shared" ref="Q41:Q42" si="41">E41+H41+K41+N41</f>
        <v>0</v>
      </c>
      <c r="R41" s="17">
        <f>G41+J41+M41+P41</f>
        <v>0</v>
      </c>
      <c r="S41" s="92"/>
    </row>
    <row r="42" spans="1:19" x14ac:dyDescent="0.3">
      <c r="A42" s="101" t="s">
        <v>109</v>
      </c>
      <c r="B42" s="102"/>
      <c r="C42" s="102" t="s">
        <v>141</v>
      </c>
      <c r="D42" s="103" t="s">
        <v>171</v>
      </c>
      <c r="E42" s="116" t="str">
        <f>IF(B11=1, "0", "45")</f>
        <v>0</v>
      </c>
      <c r="F42" s="16">
        <v>120</v>
      </c>
      <c r="G42" s="25">
        <f t="shared" si="34"/>
        <v>0</v>
      </c>
      <c r="H42" s="116" t="str">
        <f>IF(B11=1, "0", "30")</f>
        <v>0</v>
      </c>
      <c r="I42" s="16">
        <f t="shared" si="35"/>
        <v>120</v>
      </c>
      <c r="J42" s="16">
        <f t="shared" si="36"/>
        <v>0</v>
      </c>
      <c r="K42" s="116" t="str">
        <f>IF(B11=1, "0", "30")</f>
        <v>0</v>
      </c>
      <c r="L42" s="16">
        <f t="shared" si="37"/>
        <v>123.60000000000001</v>
      </c>
      <c r="M42" s="25">
        <f t="shared" si="38"/>
        <v>0</v>
      </c>
      <c r="N42" s="116" t="str">
        <f>IF(B11=1, "0", "30")</f>
        <v>0</v>
      </c>
      <c r="O42" s="16">
        <f t="shared" si="39"/>
        <v>127.30800000000001</v>
      </c>
      <c r="P42" s="25">
        <f t="shared" si="40"/>
        <v>0</v>
      </c>
      <c r="Q42" s="39">
        <f t="shared" si="41"/>
        <v>0</v>
      </c>
      <c r="R42" s="17">
        <f>G42+J42+M42+P42</f>
        <v>0</v>
      </c>
      <c r="S42" s="92"/>
    </row>
    <row r="43" spans="1:19" x14ac:dyDescent="0.3">
      <c r="A43" s="28" t="s">
        <v>142</v>
      </c>
      <c r="B43" s="1"/>
      <c r="C43" s="1" t="s">
        <v>143</v>
      </c>
      <c r="D43" s="63" t="s">
        <v>156</v>
      </c>
      <c r="E43" s="116">
        <v>0</v>
      </c>
      <c r="F43" s="16">
        <v>120</v>
      </c>
      <c r="G43" s="25">
        <f t="shared" si="26"/>
        <v>0</v>
      </c>
      <c r="H43" s="116">
        <v>60</v>
      </c>
      <c r="I43" s="16">
        <f t="shared" si="27"/>
        <v>120</v>
      </c>
      <c r="J43" s="16">
        <f t="shared" si="28"/>
        <v>7200</v>
      </c>
      <c r="K43" s="116">
        <v>60</v>
      </c>
      <c r="L43" s="16">
        <f t="shared" si="29"/>
        <v>123.60000000000001</v>
      </c>
      <c r="M43" s="25">
        <f t="shared" si="30"/>
        <v>7416</v>
      </c>
      <c r="N43" s="116">
        <v>60</v>
      </c>
      <c r="O43" s="16">
        <f t="shared" si="31"/>
        <v>127.30800000000001</v>
      </c>
      <c r="P43" s="25">
        <f t="shared" si="32"/>
        <v>7638</v>
      </c>
      <c r="Q43" s="39">
        <f t="shared" si="33"/>
        <v>180</v>
      </c>
      <c r="R43" s="17">
        <f>G43+J43+M43+P43</f>
        <v>22254</v>
      </c>
      <c r="S43" s="92"/>
    </row>
    <row r="44" spans="1:19" x14ac:dyDescent="0.3">
      <c r="A44" s="95"/>
      <c r="B44" s="1"/>
      <c r="C44" s="1"/>
      <c r="D44" s="63"/>
      <c r="E44" s="38"/>
      <c r="F44" s="16"/>
      <c r="G44" s="25"/>
      <c r="H44" s="39"/>
      <c r="I44" s="16"/>
      <c r="J44" s="16"/>
      <c r="K44" s="37"/>
      <c r="L44" s="16"/>
      <c r="M44" s="25"/>
      <c r="N44" s="37"/>
      <c r="O44" s="16"/>
      <c r="P44" s="25"/>
      <c r="Q44" s="39"/>
      <c r="R44" s="17"/>
      <c r="S44" s="136"/>
    </row>
    <row r="45" spans="1:19" x14ac:dyDescent="0.3">
      <c r="A45" s="96" t="s">
        <v>161</v>
      </c>
      <c r="B45" s="3"/>
      <c r="C45" s="3"/>
      <c r="D45" s="65"/>
      <c r="E45" s="37"/>
      <c r="F45" s="17"/>
      <c r="G45" s="35">
        <f>SUM(G33:G44)</f>
        <v>0</v>
      </c>
      <c r="H45" s="70"/>
      <c r="I45" s="17"/>
      <c r="J45" s="17">
        <f>SUM(J33:J44)</f>
        <v>30760</v>
      </c>
      <c r="K45" s="38"/>
      <c r="L45" s="17"/>
      <c r="M45" s="35">
        <f>SUM(M33:M44)</f>
        <v>31684</v>
      </c>
      <c r="N45" s="38"/>
      <c r="O45" s="17"/>
      <c r="P45" s="35">
        <f>SUM(P33:P44)</f>
        <v>32633</v>
      </c>
      <c r="Q45" s="39"/>
      <c r="R45" s="17">
        <f>SUM(R33:R44)</f>
        <v>95077</v>
      </c>
      <c r="S45" s="136">
        <f>G45+J45+M45+P45</f>
        <v>95077</v>
      </c>
    </row>
    <row r="46" spans="1:19" x14ac:dyDescent="0.3">
      <c r="A46" s="48"/>
      <c r="B46" s="1"/>
      <c r="C46" s="1"/>
      <c r="D46" s="63"/>
      <c r="E46" s="37"/>
      <c r="F46" s="16"/>
      <c r="G46" s="25"/>
      <c r="H46" s="39"/>
      <c r="I46" s="16"/>
      <c r="J46" s="16"/>
      <c r="K46" s="37"/>
      <c r="L46" s="16"/>
      <c r="M46" s="25"/>
      <c r="N46" s="37" t="s">
        <v>4</v>
      </c>
      <c r="O46" s="16"/>
      <c r="P46" s="25"/>
      <c r="Q46" s="39"/>
      <c r="R46" s="17"/>
      <c r="S46" s="136"/>
    </row>
    <row r="47" spans="1:19" ht="16.2" thickBot="1" x14ac:dyDescent="0.35">
      <c r="A47" s="34" t="s">
        <v>10</v>
      </c>
      <c r="B47" s="12"/>
      <c r="C47" s="12"/>
      <c r="D47" s="64"/>
      <c r="E47" s="44"/>
      <c r="F47" s="19"/>
      <c r="G47" s="33">
        <f>G45+G30</f>
        <v>0</v>
      </c>
      <c r="H47" s="76"/>
      <c r="I47" s="23"/>
      <c r="J47" s="23">
        <f>J45+J30</f>
        <v>51260</v>
      </c>
      <c r="K47" s="75"/>
      <c r="L47" s="23"/>
      <c r="M47" s="33">
        <f>M45+M30</f>
        <v>52799</v>
      </c>
      <c r="N47" s="75" t="s">
        <v>4</v>
      </c>
      <c r="O47" s="23"/>
      <c r="P47" s="33">
        <f>P45+P30</f>
        <v>54381</v>
      </c>
      <c r="Q47" s="77"/>
      <c r="R47" s="33">
        <f>R45+R30</f>
        <v>158440</v>
      </c>
      <c r="S47" s="136">
        <f>G47+J47+M47+P47</f>
        <v>158440</v>
      </c>
    </row>
    <row r="48" spans="1:19" ht="16.2" thickTop="1" x14ac:dyDescent="0.3">
      <c r="A48" s="48"/>
      <c r="B48" s="1"/>
      <c r="C48" s="1"/>
      <c r="D48" s="63"/>
      <c r="E48" s="40"/>
      <c r="F48" s="16"/>
      <c r="G48" s="25"/>
      <c r="H48" s="36"/>
      <c r="I48" s="16"/>
      <c r="J48" s="16"/>
      <c r="K48" s="40"/>
      <c r="L48" s="16"/>
      <c r="M48" s="25"/>
      <c r="N48" s="40"/>
      <c r="O48" s="16"/>
      <c r="P48" s="25"/>
      <c r="Q48" s="20"/>
      <c r="R48" s="17"/>
      <c r="S48" s="136"/>
    </row>
    <row r="49" spans="1:21" x14ac:dyDescent="0.3">
      <c r="A49" s="30" t="s">
        <v>11</v>
      </c>
      <c r="B49" s="1"/>
      <c r="C49" s="1"/>
      <c r="D49" s="63"/>
      <c r="E49" s="40"/>
      <c r="F49" s="16"/>
      <c r="G49" s="25"/>
      <c r="H49" s="36"/>
      <c r="I49" s="16"/>
      <c r="J49" s="16" t="s">
        <v>4</v>
      </c>
      <c r="K49" s="40"/>
      <c r="L49" s="16"/>
      <c r="M49" s="25" t="s">
        <v>4</v>
      </c>
      <c r="N49" s="40"/>
      <c r="O49" s="16"/>
      <c r="P49" s="25" t="s">
        <v>4</v>
      </c>
      <c r="Q49" s="20"/>
      <c r="R49" s="17" t="s">
        <v>4</v>
      </c>
      <c r="S49" s="136"/>
    </row>
    <row r="50" spans="1:21" x14ac:dyDescent="0.3">
      <c r="A50" s="28" t="s">
        <v>151</v>
      </c>
      <c r="B50" s="1"/>
      <c r="C50" s="1"/>
      <c r="D50" s="63" t="s">
        <v>34</v>
      </c>
      <c r="E50" s="115">
        <v>0</v>
      </c>
      <c r="F50" s="16">
        <f>G30</f>
        <v>0</v>
      </c>
      <c r="G50" s="25">
        <f t="shared" ref="G50" si="42">ROUND((+E50*F50),0)</f>
        <v>0</v>
      </c>
      <c r="H50" s="15">
        <f>$B$7</f>
        <v>0.35</v>
      </c>
      <c r="I50" s="16">
        <f>J30</f>
        <v>20500</v>
      </c>
      <c r="J50" s="16">
        <f>ROUND((+H50*I50),0)</f>
        <v>7175</v>
      </c>
      <c r="K50" s="115">
        <f>$B$7</f>
        <v>0.35</v>
      </c>
      <c r="L50" s="16">
        <f>M30</f>
        <v>21115</v>
      </c>
      <c r="M50" s="25">
        <f>ROUND((+K50*L50),0)</f>
        <v>7390</v>
      </c>
      <c r="N50" s="115">
        <f>$B$7</f>
        <v>0.35</v>
      </c>
      <c r="O50" s="16">
        <f>P30</f>
        <v>21748</v>
      </c>
      <c r="P50" s="25">
        <f>ROUND((+N50*O50),0)</f>
        <v>7612</v>
      </c>
      <c r="Q50" s="21"/>
      <c r="R50" s="17">
        <f>G50+J50+M50+P50</f>
        <v>22177</v>
      </c>
      <c r="S50" s="136"/>
    </row>
    <row r="51" spans="1:21" x14ac:dyDescent="0.3">
      <c r="A51" s="28"/>
      <c r="B51" s="1"/>
      <c r="C51" s="1"/>
      <c r="D51" s="63"/>
      <c r="E51" s="40"/>
      <c r="F51" s="16"/>
      <c r="G51" s="25"/>
      <c r="H51" s="36"/>
      <c r="I51" s="16"/>
      <c r="J51" s="16"/>
      <c r="K51" s="40"/>
      <c r="L51" s="16"/>
      <c r="M51" s="25"/>
      <c r="N51" s="40"/>
      <c r="O51" s="16"/>
      <c r="P51" s="25"/>
      <c r="Q51" s="21"/>
      <c r="R51" s="17"/>
      <c r="S51" s="136"/>
    </row>
    <row r="52" spans="1:21" s="18" customFormat="1" ht="16.2" thickBot="1" x14ac:dyDescent="0.35">
      <c r="A52" s="34" t="s">
        <v>12</v>
      </c>
      <c r="B52" s="22"/>
      <c r="C52" s="22"/>
      <c r="D52" s="66"/>
      <c r="E52" s="51"/>
      <c r="F52" s="23"/>
      <c r="G52" s="33">
        <f>SUM(G50:G51)</f>
        <v>0</v>
      </c>
      <c r="H52" s="42"/>
      <c r="I52" s="23"/>
      <c r="J52" s="23">
        <f>SUM(J50:J51)</f>
        <v>7175</v>
      </c>
      <c r="K52" s="51"/>
      <c r="L52" s="23"/>
      <c r="M52" s="33">
        <f>SUM(M50:M51)</f>
        <v>7390</v>
      </c>
      <c r="N52" s="51"/>
      <c r="O52" s="23"/>
      <c r="P52" s="33">
        <f>SUM(P50:P51)</f>
        <v>7612</v>
      </c>
      <c r="Q52" s="22"/>
      <c r="R52" s="23">
        <f>SUM(R50:R51)</f>
        <v>22177</v>
      </c>
      <c r="S52" s="136">
        <f>G52+J52+M52+P52</f>
        <v>22177</v>
      </c>
    </row>
    <row r="53" spans="1:21" ht="16.2" thickTop="1" x14ac:dyDescent="0.3">
      <c r="A53" s="48"/>
      <c r="B53" s="1"/>
      <c r="C53" s="1"/>
      <c r="D53" s="63"/>
      <c r="E53" s="40"/>
      <c r="F53" s="16"/>
      <c r="G53" s="25"/>
      <c r="H53" s="36"/>
      <c r="I53" s="16"/>
      <c r="J53" s="16"/>
      <c r="K53" s="40"/>
      <c r="L53" s="16"/>
      <c r="M53" s="25"/>
      <c r="N53" s="40"/>
      <c r="O53" s="16"/>
      <c r="P53" s="25"/>
      <c r="Q53" s="3"/>
      <c r="R53" s="17"/>
      <c r="S53" s="136"/>
    </row>
    <row r="54" spans="1:21" x14ac:dyDescent="0.3">
      <c r="A54" s="30" t="s">
        <v>13</v>
      </c>
      <c r="B54" s="1"/>
      <c r="C54" s="1"/>
      <c r="D54" s="63"/>
      <c r="E54" s="40"/>
      <c r="F54" s="16"/>
      <c r="G54" s="25"/>
      <c r="H54" s="36"/>
      <c r="I54" s="16"/>
      <c r="J54" s="16"/>
      <c r="K54" s="40"/>
      <c r="L54" s="16"/>
      <c r="M54" s="25"/>
      <c r="N54" s="40"/>
      <c r="O54" s="16"/>
      <c r="P54" s="25"/>
      <c r="Q54" s="3"/>
      <c r="R54" s="17"/>
      <c r="S54" s="136"/>
    </row>
    <row r="55" spans="1:21" x14ac:dyDescent="0.3">
      <c r="A55" s="48"/>
      <c r="B55" s="1"/>
      <c r="C55" s="1"/>
      <c r="D55" s="63"/>
      <c r="E55" s="40"/>
      <c r="F55" s="16"/>
      <c r="G55" s="25"/>
      <c r="H55" s="36"/>
      <c r="I55" s="16"/>
      <c r="J55" s="16"/>
      <c r="K55" s="40"/>
      <c r="L55" s="16"/>
      <c r="M55" s="25"/>
      <c r="N55" s="40"/>
      <c r="O55" s="16"/>
      <c r="P55" s="25"/>
      <c r="Q55" s="27" t="s">
        <v>4</v>
      </c>
      <c r="R55" s="17"/>
      <c r="S55" s="136"/>
    </row>
    <row r="56" spans="1:21" x14ac:dyDescent="0.3">
      <c r="A56" s="30" t="s">
        <v>14</v>
      </c>
      <c r="B56" s="1"/>
      <c r="C56" s="1"/>
      <c r="D56" s="63"/>
      <c r="E56" s="40"/>
      <c r="F56" s="16"/>
      <c r="G56" s="25"/>
      <c r="H56" s="36"/>
      <c r="I56" s="16"/>
      <c r="J56" s="16"/>
      <c r="K56" s="40"/>
      <c r="L56" s="16"/>
      <c r="M56" s="25"/>
      <c r="N56" s="40"/>
      <c r="O56" s="16"/>
      <c r="P56" s="25"/>
      <c r="Q56" s="27" t="s">
        <v>4</v>
      </c>
      <c r="R56" s="17"/>
      <c r="S56" s="136"/>
    </row>
    <row r="57" spans="1:21" x14ac:dyDescent="0.3">
      <c r="A57" s="111" t="s">
        <v>77</v>
      </c>
      <c r="B57" s="15"/>
      <c r="C57" s="1"/>
      <c r="D57" s="63"/>
      <c r="E57" s="40"/>
      <c r="F57" s="16"/>
      <c r="G57" s="25"/>
      <c r="H57" s="36"/>
      <c r="I57" s="16"/>
      <c r="J57" s="16"/>
      <c r="K57" s="40"/>
      <c r="L57" s="16"/>
      <c r="M57" s="25"/>
      <c r="N57" s="40"/>
      <c r="O57" s="16"/>
      <c r="P57" s="25"/>
      <c r="Q57" s="26"/>
      <c r="R57" s="17"/>
      <c r="S57" s="137"/>
    </row>
    <row r="58" spans="1:21" x14ac:dyDescent="0.3">
      <c r="A58" s="101" t="s">
        <v>68</v>
      </c>
      <c r="B58" s="105"/>
      <c r="C58" s="102" t="s">
        <v>125</v>
      </c>
      <c r="D58" s="103" t="s">
        <v>35</v>
      </c>
      <c r="E58" s="114">
        <v>0</v>
      </c>
      <c r="F58" s="16">
        <v>2000</v>
      </c>
      <c r="G58" s="25">
        <f t="shared" ref="G58:G60" si="43">ROUND((+E58*F58),0)</f>
        <v>0</v>
      </c>
      <c r="H58" s="36">
        <v>0</v>
      </c>
      <c r="I58" s="16">
        <f t="shared" ref="I58:I60" si="44">F58</f>
        <v>2000</v>
      </c>
      <c r="J58" s="16">
        <f t="shared" ref="J58:J60" si="45">ROUND((+H58*I58),0)</f>
        <v>0</v>
      </c>
      <c r="K58" s="40">
        <v>0</v>
      </c>
      <c r="L58" s="16">
        <f>I58*(1+$B$10)</f>
        <v>2060</v>
      </c>
      <c r="M58" s="25">
        <f t="shared" ref="M58:M60" si="46">ROUND((+K58*L58),0)</f>
        <v>0</v>
      </c>
      <c r="N58" s="40">
        <v>0</v>
      </c>
      <c r="O58" s="16">
        <f t="shared" ref="O58:O60" si="47">L58*(1+$B$10)</f>
        <v>2121.8000000000002</v>
      </c>
      <c r="P58" s="25">
        <f t="shared" ref="P58:P60" si="48">ROUND((+N58*O58),0)</f>
        <v>0</v>
      </c>
      <c r="Q58" s="39">
        <f t="shared" ref="Q58:Q60" si="49">E58+H58+K58+N58</f>
        <v>0</v>
      </c>
      <c r="R58" s="17">
        <f>G58+J58+M58+P58</f>
        <v>0</v>
      </c>
      <c r="S58" s="137"/>
    </row>
    <row r="59" spans="1:21" x14ac:dyDescent="0.3">
      <c r="A59" s="101" t="s">
        <v>69</v>
      </c>
      <c r="B59" s="102"/>
      <c r="C59" s="102"/>
      <c r="D59" s="103" t="s">
        <v>171</v>
      </c>
      <c r="E59" s="114">
        <v>0</v>
      </c>
      <c r="F59" s="16">
        <v>250</v>
      </c>
      <c r="G59" s="25">
        <f t="shared" si="43"/>
        <v>0</v>
      </c>
      <c r="H59" s="36">
        <v>0</v>
      </c>
      <c r="I59" s="16">
        <f t="shared" si="44"/>
        <v>250</v>
      </c>
      <c r="J59" s="16">
        <f t="shared" si="45"/>
        <v>0</v>
      </c>
      <c r="K59" s="40">
        <v>0</v>
      </c>
      <c r="L59" s="16">
        <f t="shared" ref="L59:L60" si="50">I59*(1+$B$10)</f>
        <v>257.5</v>
      </c>
      <c r="M59" s="25">
        <f t="shared" si="46"/>
        <v>0</v>
      </c>
      <c r="N59" s="40">
        <v>0</v>
      </c>
      <c r="O59" s="16">
        <f t="shared" si="47"/>
        <v>265.22500000000002</v>
      </c>
      <c r="P59" s="25">
        <f t="shared" si="48"/>
        <v>0</v>
      </c>
      <c r="Q59" s="39">
        <f t="shared" si="49"/>
        <v>0</v>
      </c>
      <c r="R59" s="17">
        <f>G59+J59+M59+P59</f>
        <v>0</v>
      </c>
      <c r="S59" s="136"/>
      <c r="T59" s="3"/>
      <c r="U59" s="1"/>
    </row>
    <row r="60" spans="1:21" x14ac:dyDescent="0.3">
      <c r="A60" s="101" t="s">
        <v>70</v>
      </c>
      <c r="B60" s="102"/>
      <c r="C60" s="102" t="s">
        <v>79</v>
      </c>
      <c r="D60" s="103" t="s">
        <v>35</v>
      </c>
      <c r="E60" s="114">
        <v>0</v>
      </c>
      <c r="F60" s="16">
        <v>450</v>
      </c>
      <c r="G60" s="25">
        <f t="shared" si="43"/>
        <v>0</v>
      </c>
      <c r="H60" s="36">
        <v>0</v>
      </c>
      <c r="I60" s="16">
        <f t="shared" si="44"/>
        <v>450</v>
      </c>
      <c r="J60" s="16">
        <f t="shared" si="45"/>
        <v>0</v>
      </c>
      <c r="K60" s="40">
        <v>0</v>
      </c>
      <c r="L60" s="16">
        <f t="shared" si="50"/>
        <v>463.5</v>
      </c>
      <c r="M60" s="25">
        <f t="shared" si="46"/>
        <v>0</v>
      </c>
      <c r="N60" s="40">
        <v>0</v>
      </c>
      <c r="O60" s="16">
        <f t="shared" si="47"/>
        <v>477.40500000000003</v>
      </c>
      <c r="P60" s="25">
        <f t="shared" si="48"/>
        <v>0</v>
      </c>
      <c r="Q60" s="39">
        <f t="shared" si="49"/>
        <v>0</v>
      </c>
      <c r="R60" s="17">
        <f>G60+J60+M60+P60</f>
        <v>0</v>
      </c>
      <c r="S60" s="136"/>
      <c r="T60" s="3"/>
      <c r="U60" s="1"/>
    </row>
    <row r="61" spans="1:21" x14ac:dyDescent="0.3">
      <c r="A61" s="24" t="s">
        <v>63</v>
      </c>
      <c r="B61" s="15"/>
      <c r="C61" s="1"/>
      <c r="D61" s="63"/>
      <c r="E61" s="40"/>
      <c r="F61" s="16"/>
      <c r="G61" s="25"/>
      <c r="H61" s="36"/>
      <c r="I61" s="16"/>
      <c r="J61" s="16"/>
      <c r="K61" s="40"/>
      <c r="L61" s="16"/>
      <c r="M61" s="25"/>
      <c r="N61" s="40"/>
      <c r="O61" s="16"/>
      <c r="P61" s="25"/>
      <c r="Q61" s="39"/>
      <c r="R61" s="17"/>
      <c r="S61" s="137"/>
    </row>
    <row r="62" spans="1:21" x14ac:dyDescent="0.3">
      <c r="A62" s="28" t="s">
        <v>68</v>
      </c>
      <c r="B62" s="15"/>
      <c r="C62" s="1" t="s">
        <v>125</v>
      </c>
      <c r="D62" s="63" t="s">
        <v>34</v>
      </c>
      <c r="E62" s="40">
        <v>0</v>
      </c>
      <c r="F62" s="16">
        <v>2000</v>
      </c>
      <c r="G62" s="25">
        <f t="shared" ref="G62:G64" si="51">ROUND((+E62*F62),0)</f>
        <v>0</v>
      </c>
      <c r="H62" s="36">
        <v>0</v>
      </c>
      <c r="I62" s="16">
        <f t="shared" ref="I62:I64" si="52">F62</f>
        <v>2000</v>
      </c>
      <c r="J62" s="16">
        <f t="shared" ref="J62:J64" si="53">ROUND((+H62*I62),0)</f>
        <v>0</v>
      </c>
      <c r="K62" s="40">
        <v>0</v>
      </c>
      <c r="L62" s="16">
        <f t="shared" ref="L62:L64" si="54">I62*(1+$B$10)</f>
        <v>2060</v>
      </c>
      <c r="M62" s="25">
        <f t="shared" ref="M62:M64" si="55">ROUND((+K62*L62),0)</f>
        <v>0</v>
      </c>
      <c r="N62" s="40">
        <v>1</v>
      </c>
      <c r="O62" s="16">
        <f t="shared" ref="O62:O64" si="56">L62*(1+$B$10)</f>
        <v>2121.8000000000002</v>
      </c>
      <c r="P62" s="25">
        <f t="shared" ref="P62:P64" si="57">ROUND((+N62*O62),0)</f>
        <v>2122</v>
      </c>
      <c r="Q62" s="39">
        <f t="shared" ref="Q62:Q64" si="58">E62+H62+K62+N62</f>
        <v>1</v>
      </c>
      <c r="R62" s="17">
        <f>G62+J62+M62+P62</f>
        <v>2122</v>
      </c>
      <c r="S62" s="137"/>
    </row>
    <row r="63" spans="1:21" x14ac:dyDescent="0.3">
      <c r="A63" s="28" t="s">
        <v>69</v>
      </c>
      <c r="B63" s="1"/>
      <c r="C63" s="1"/>
      <c r="D63" s="63" t="s">
        <v>156</v>
      </c>
      <c r="E63" s="40">
        <v>0</v>
      </c>
      <c r="F63" s="16">
        <v>250</v>
      </c>
      <c r="G63" s="25">
        <f t="shared" si="51"/>
        <v>0</v>
      </c>
      <c r="H63" s="36">
        <v>0</v>
      </c>
      <c r="I63" s="16">
        <f t="shared" si="52"/>
        <v>250</v>
      </c>
      <c r="J63" s="16">
        <f t="shared" si="53"/>
        <v>0</v>
      </c>
      <c r="K63" s="40">
        <v>0</v>
      </c>
      <c r="L63" s="16">
        <f t="shared" si="54"/>
        <v>257.5</v>
      </c>
      <c r="M63" s="25">
        <f t="shared" si="55"/>
        <v>0</v>
      </c>
      <c r="N63" s="40">
        <v>4</v>
      </c>
      <c r="O63" s="16">
        <f t="shared" si="56"/>
        <v>265.22500000000002</v>
      </c>
      <c r="P63" s="25">
        <f t="shared" si="57"/>
        <v>1061</v>
      </c>
      <c r="Q63" s="39">
        <f t="shared" si="58"/>
        <v>4</v>
      </c>
      <c r="R63" s="17">
        <f>G63+J63+M63+P63</f>
        <v>1061</v>
      </c>
      <c r="S63" s="136"/>
      <c r="T63" s="3"/>
      <c r="U63" s="1"/>
    </row>
    <row r="64" spans="1:21" x14ac:dyDescent="0.3">
      <c r="A64" s="28" t="s">
        <v>78</v>
      </c>
      <c r="B64" s="1"/>
      <c r="C64" s="1" t="s">
        <v>79</v>
      </c>
      <c r="D64" s="63" t="s">
        <v>34</v>
      </c>
      <c r="E64" s="40">
        <v>0</v>
      </c>
      <c r="F64" s="16">
        <v>450</v>
      </c>
      <c r="G64" s="25">
        <f t="shared" si="51"/>
        <v>0</v>
      </c>
      <c r="H64" s="36">
        <v>0</v>
      </c>
      <c r="I64" s="16">
        <f t="shared" si="52"/>
        <v>450</v>
      </c>
      <c r="J64" s="16">
        <f t="shared" si="53"/>
        <v>0</v>
      </c>
      <c r="K64" s="40">
        <v>0</v>
      </c>
      <c r="L64" s="16">
        <f t="shared" si="54"/>
        <v>463.5</v>
      </c>
      <c r="M64" s="25">
        <f t="shared" si="55"/>
        <v>0</v>
      </c>
      <c r="N64" s="40">
        <v>1</v>
      </c>
      <c r="O64" s="16">
        <f t="shared" si="56"/>
        <v>477.40500000000003</v>
      </c>
      <c r="P64" s="25">
        <f t="shared" si="57"/>
        <v>477</v>
      </c>
      <c r="Q64" s="39">
        <f t="shared" si="58"/>
        <v>1</v>
      </c>
      <c r="R64" s="17">
        <f>G64+J64+M64+P64</f>
        <v>477</v>
      </c>
      <c r="S64" s="136"/>
      <c r="T64" s="3"/>
      <c r="U64" s="1"/>
    </row>
    <row r="65" spans="1:19" x14ac:dyDescent="0.3">
      <c r="A65" s="48"/>
      <c r="B65" s="1"/>
      <c r="C65" s="1"/>
      <c r="D65" s="63"/>
      <c r="E65" s="40"/>
      <c r="F65" s="16"/>
      <c r="G65" s="25"/>
      <c r="H65" s="36"/>
      <c r="I65" s="16"/>
      <c r="J65" s="16"/>
      <c r="K65" s="40"/>
      <c r="L65" s="16"/>
      <c r="M65" s="25"/>
      <c r="N65" s="40"/>
      <c r="O65" s="16"/>
      <c r="P65" s="25"/>
      <c r="Q65" s="39"/>
      <c r="R65" s="17"/>
      <c r="S65" s="136"/>
    </row>
    <row r="66" spans="1:19" s="18" customFormat="1" x14ac:dyDescent="0.3">
      <c r="A66" s="96" t="s">
        <v>15</v>
      </c>
      <c r="B66" s="3"/>
      <c r="C66" s="3"/>
      <c r="D66" s="65"/>
      <c r="E66" s="50"/>
      <c r="F66" s="17"/>
      <c r="G66" s="35">
        <f>SUM(G58:G65)</f>
        <v>0</v>
      </c>
      <c r="H66" s="41"/>
      <c r="I66" s="17"/>
      <c r="J66" s="17">
        <f>SUM(J58:J65)</f>
        <v>0</v>
      </c>
      <c r="K66" s="50"/>
      <c r="L66" s="17"/>
      <c r="M66" s="35">
        <f>SUM(M58:M65)</f>
        <v>0</v>
      </c>
      <c r="N66" s="50"/>
      <c r="O66" s="17"/>
      <c r="P66" s="35">
        <f>SUM(P58:P65)</f>
        <v>3660</v>
      </c>
      <c r="Q66" s="3"/>
      <c r="R66" s="17">
        <f>SUM(R58:R65)</f>
        <v>3660</v>
      </c>
      <c r="S66" s="136">
        <f>G66+J66+M66+P66</f>
        <v>3660</v>
      </c>
    </row>
    <row r="67" spans="1:19" x14ac:dyDescent="0.3">
      <c r="A67" s="48"/>
      <c r="B67" s="1"/>
      <c r="C67" s="1"/>
      <c r="D67" s="63"/>
      <c r="E67" s="40"/>
      <c r="F67" s="16"/>
      <c r="G67" s="56"/>
      <c r="H67" s="36"/>
      <c r="I67" s="16"/>
      <c r="J67" s="16"/>
      <c r="K67" s="40"/>
      <c r="L67" s="16"/>
      <c r="M67" s="25"/>
      <c r="N67" s="40"/>
      <c r="O67" s="16"/>
      <c r="P67" s="25"/>
      <c r="Q67" s="3"/>
      <c r="R67" s="47"/>
      <c r="S67" s="136"/>
    </row>
    <row r="68" spans="1:19" x14ac:dyDescent="0.3">
      <c r="A68" s="30" t="s">
        <v>100</v>
      </c>
      <c r="B68" s="1"/>
      <c r="C68" s="1"/>
      <c r="D68" s="63"/>
      <c r="E68" s="40"/>
      <c r="F68" s="16"/>
      <c r="G68" s="25"/>
      <c r="H68" s="36"/>
      <c r="I68" s="16"/>
      <c r="J68" s="16"/>
      <c r="K68" s="40"/>
      <c r="L68" s="16"/>
      <c r="M68" s="25"/>
      <c r="N68" s="40"/>
      <c r="O68" s="16"/>
      <c r="P68" s="25"/>
      <c r="Q68" s="27" t="s">
        <v>4</v>
      </c>
      <c r="R68" s="17"/>
      <c r="S68" s="136"/>
    </row>
    <row r="69" spans="1:19" x14ac:dyDescent="0.3">
      <c r="A69" s="97" t="s">
        <v>23</v>
      </c>
      <c r="B69" s="1"/>
      <c r="C69" s="1"/>
      <c r="D69" s="63"/>
      <c r="E69" s="40"/>
      <c r="F69" s="16"/>
      <c r="G69" s="25"/>
      <c r="H69" s="36"/>
      <c r="I69" s="16"/>
      <c r="J69" s="16"/>
      <c r="K69" s="40"/>
      <c r="L69" s="16"/>
      <c r="M69" s="25"/>
      <c r="N69" s="40"/>
      <c r="O69" s="16"/>
      <c r="P69" s="25"/>
      <c r="Q69" s="39"/>
      <c r="R69" s="17"/>
      <c r="S69" s="136"/>
    </row>
    <row r="70" spans="1:19" x14ac:dyDescent="0.3">
      <c r="A70" s="24" t="s">
        <v>82</v>
      </c>
      <c r="B70" s="1"/>
      <c r="C70" s="1"/>
      <c r="D70" s="63"/>
      <c r="E70" s="40"/>
      <c r="F70" s="16"/>
      <c r="G70" s="25"/>
      <c r="H70" s="36"/>
      <c r="I70" s="16"/>
      <c r="J70" s="16"/>
      <c r="K70" s="40"/>
      <c r="L70" s="16"/>
      <c r="M70" s="25"/>
      <c r="N70" s="40"/>
      <c r="O70" s="16"/>
      <c r="P70" s="25"/>
      <c r="Q70" s="27"/>
      <c r="R70" s="17"/>
      <c r="S70" s="136"/>
    </row>
    <row r="71" spans="1:19" x14ac:dyDescent="0.3">
      <c r="A71" s="101" t="s">
        <v>27</v>
      </c>
      <c r="B71" s="102"/>
      <c r="C71" s="102" t="s">
        <v>125</v>
      </c>
      <c r="D71" s="103" t="s">
        <v>171</v>
      </c>
      <c r="E71" s="40">
        <v>0</v>
      </c>
      <c r="F71" s="16">
        <v>50</v>
      </c>
      <c r="G71" s="25">
        <f t="shared" ref="G71" si="59">ROUND((+E71*F71),0)</f>
        <v>0</v>
      </c>
      <c r="H71" s="36">
        <v>0</v>
      </c>
      <c r="I71" s="16">
        <f>F71</f>
        <v>50</v>
      </c>
      <c r="J71" s="16">
        <f>ROUND((+H71*I71),0)</f>
        <v>0</v>
      </c>
      <c r="K71" s="40">
        <v>0</v>
      </c>
      <c r="L71" s="16">
        <f>I71*(1+$B$10)</f>
        <v>51.5</v>
      </c>
      <c r="M71" s="25">
        <f>ROUND((+K71*L71),0)</f>
        <v>0</v>
      </c>
      <c r="N71" s="40">
        <v>0</v>
      </c>
      <c r="O71" s="16">
        <f>L71*(1+$B$10)</f>
        <v>53.045000000000002</v>
      </c>
      <c r="P71" s="25">
        <f>ROUND((+N71*O71),0)</f>
        <v>0</v>
      </c>
      <c r="Q71" s="39">
        <f>E71+H71+K71+N71</f>
        <v>0</v>
      </c>
      <c r="R71" s="17">
        <f>G71+J71+M71+P71</f>
        <v>0</v>
      </c>
      <c r="S71" s="136"/>
    </row>
    <row r="72" spans="1:19" x14ac:dyDescent="0.3">
      <c r="A72" s="97" t="s">
        <v>22</v>
      </c>
      <c r="B72" s="1"/>
      <c r="C72" s="1"/>
      <c r="D72" s="63"/>
      <c r="E72" s="40"/>
      <c r="F72" s="16"/>
      <c r="G72" s="25"/>
      <c r="H72" s="36"/>
      <c r="I72" s="16"/>
      <c r="J72" s="16"/>
      <c r="K72" s="40"/>
      <c r="L72" s="16"/>
      <c r="M72" s="25"/>
      <c r="N72" s="40"/>
      <c r="O72" s="16"/>
      <c r="P72" s="25"/>
      <c r="Q72" s="27"/>
      <c r="R72" s="17"/>
      <c r="S72" s="136"/>
    </row>
    <row r="73" spans="1:19" x14ac:dyDescent="0.3">
      <c r="A73" s="24" t="s">
        <v>63</v>
      </c>
      <c r="B73" s="1"/>
      <c r="C73" s="1"/>
      <c r="D73" s="63"/>
      <c r="E73" s="40"/>
      <c r="F73" s="16"/>
      <c r="G73" s="25"/>
      <c r="H73" s="36"/>
      <c r="I73" s="16"/>
      <c r="J73" s="16"/>
      <c r="K73" s="40"/>
      <c r="L73" s="16"/>
      <c r="M73" s="25"/>
      <c r="N73" s="40"/>
      <c r="O73" s="16"/>
      <c r="P73" s="25"/>
      <c r="Q73" s="39"/>
      <c r="R73" s="17"/>
      <c r="S73" s="136"/>
    </row>
    <row r="74" spans="1:19" x14ac:dyDescent="0.3">
      <c r="A74" s="28" t="s">
        <v>27</v>
      </c>
      <c r="B74" s="1"/>
      <c r="C74" s="1" t="s">
        <v>125</v>
      </c>
      <c r="D74" s="63" t="s">
        <v>156</v>
      </c>
      <c r="E74" s="40">
        <v>0</v>
      </c>
      <c r="F74" s="16">
        <v>50</v>
      </c>
      <c r="G74" s="25">
        <f t="shared" ref="G74" si="60">ROUND((+E74*F74),0)</f>
        <v>0</v>
      </c>
      <c r="H74" s="36">
        <v>0</v>
      </c>
      <c r="I74" s="16">
        <f>F74</f>
        <v>50</v>
      </c>
      <c r="J74" s="16">
        <f>ROUND((+H74*I74),0)</f>
        <v>0</v>
      </c>
      <c r="K74" s="40">
        <v>0</v>
      </c>
      <c r="L74" s="16">
        <f>I74*(1+$B$10)</f>
        <v>51.5</v>
      </c>
      <c r="M74" s="25">
        <f>ROUND((+K74*L74),0)</f>
        <v>0</v>
      </c>
      <c r="N74" s="40">
        <v>4</v>
      </c>
      <c r="O74" s="16">
        <f>L74*(1+$B$10)</f>
        <v>53.045000000000002</v>
      </c>
      <c r="P74" s="25">
        <f>ROUND((+N74*O74),0)</f>
        <v>212</v>
      </c>
      <c r="Q74" s="39">
        <v>4</v>
      </c>
      <c r="R74" s="17">
        <f>G74+J74+M74+P74</f>
        <v>212</v>
      </c>
      <c r="S74" s="136"/>
    </row>
    <row r="75" spans="1:19" x14ac:dyDescent="0.3">
      <c r="A75" s="48"/>
      <c r="B75" s="1"/>
      <c r="C75" s="1"/>
      <c r="D75" s="63"/>
      <c r="E75" s="40"/>
      <c r="F75" s="16"/>
      <c r="G75" s="25"/>
      <c r="H75" s="36"/>
      <c r="I75" s="16"/>
      <c r="J75" s="16"/>
      <c r="K75" s="40"/>
      <c r="L75" s="16"/>
      <c r="M75" s="25"/>
      <c r="N75" s="40"/>
      <c r="O75" s="16"/>
      <c r="P75" s="25"/>
      <c r="Q75" s="27"/>
      <c r="R75" s="17"/>
      <c r="S75" s="136"/>
    </row>
    <row r="76" spans="1:19" s="18" customFormat="1" x14ac:dyDescent="0.3">
      <c r="A76" s="96" t="s">
        <v>51</v>
      </c>
      <c r="B76" s="3"/>
      <c r="C76" s="3"/>
      <c r="D76" s="65"/>
      <c r="E76" s="50"/>
      <c r="F76" s="17"/>
      <c r="G76" s="35">
        <f>SUM(G71:G75)</f>
        <v>0</v>
      </c>
      <c r="H76" s="41"/>
      <c r="I76" s="17"/>
      <c r="J76" s="17">
        <f>SUM(J71:J75)</f>
        <v>0</v>
      </c>
      <c r="K76" s="50"/>
      <c r="L76" s="17"/>
      <c r="M76" s="35">
        <f>SUM(M71:M75)</f>
        <v>0</v>
      </c>
      <c r="N76" s="50"/>
      <c r="O76" s="17"/>
      <c r="P76" s="35">
        <f>SUM(P71:P75)</f>
        <v>212</v>
      </c>
      <c r="Q76" s="3"/>
      <c r="R76" s="17">
        <f>SUM(R71:R75)</f>
        <v>212</v>
      </c>
      <c r="S76" s="136">
        <f>G76+J76+M76+P76</f>
        <v>212</v>
      </c>
    </row>
    <row r="77" spans="1:19" x14ac:dyDescent="0.3">
      <c r="A77" s="48"/>
      <c r="B77" s="1"/>
      <c r="C77" s="1"/>
      <c r="D77" s="63"/>
      <c r="E77" s="40"/>
      <c r="F77" s="16"/>
      <c r="G77" s="25"/>
      <c r="H77" s="36"/>
      <c r="I77" s="16"/>
      <c r="J77" s="16"/>
      <c r="K77" s="40"/>
      <c r="L77" s="16"/>
      <c r="M77" s="25"/>
      <c r="N77" s="40"/>
      <c r="O77" s="16"/>
      <c r="P77" s="25"/>
      <c r="Q77" s="3"/>
      <c r="R77" s="17"/>
      <c r="S77" s="136"/>
    </row>
    <row r="78" spans="1:19" ht="16.2" thickBot="1" x14ac:dyDescent="0.35">
      <c r="A78" s="34" t="s">
        <v>47</v>
      </c>
      <c r="B78" s="22"/>
      <c r="C78" s="22"/>
      <c r="D78" s="66"/>
      <c r="E78" s="51"/>
      <c r="F78" s="23"/>
      <c r="G78" s="33">
        <f>G66+G76</f>
        <v>0</v>
      </c>
      <c r="H78" s="42"/>
      <c r="I78" s="23"/>
      <c r="J78" s="23">
        <f>+J66+J76</f>
        <v>0</v>
      </c>
      <c r="K78" s="51"/>
      <c r="L78" s="23"/>
      <c r="M78" s="33">
        <f>+M66+M76</f>
        <v>0</v>
      </c>
      <c r="N78" s="51"/>
      <c r="O78" s="23"/>
      <c r="P78" s="33">
        <f>+P66+P76</f>
        <v>3872</v>
      </c>
      <c r="Q78" s="88"/>
      <c r="R78" s="23">
        <f>+R66+R76</f>
        <v>3872</v>
      </c>
      <c r="S78" s="136">
        <f>G78+J78+M78+P78</f>
        <v>3872</v>
      </c>
    </row>
    <row r="79" spans="1:19" ht="16.2" thickTop="1" x14ac:dyDescent="0.3">
      <c r="A79" s="30"/>
      <c r="B79" s="3"/>
      <c r="C79" s="3"/>
      <c r="D79" s="65"/>
      <c r="E79" s="50"/>
      <c r="F79" s="17"/>
      <c r="G79" s="35"/>
      <c r="H79" s="41"/>
      <c r="I79" s="17"/>
      <c r="J79" s="17"/>
      <c r="K79" s="50"/>
      <c r="L79" s="17"/>
      <c r="M79" s="35"/>
      <c r="N79" s="50"/>
      <c r="O79" s="17"/>
      <c r="P79" s="35"/>
      <c r="Q79" s="3"/>
      <c r="R79" s="17"/>
      <c r="S79" s="136"/>
    </row>
    <row r="80" spans="1:19" x14ac:dyDescent="0.3">
      <c r="A80" s="30" t="s">
        <v>17</v>
      </c>
      <c r="B80" s="1"/>
      <c r="C80" s="1"/>
      <c r="D80" s="63"/>
      <c r="E80" s="40"/>
      <c r="F80" s="16"/>
      <c r="G80" s="25"/>
      <c r="H80" s="36"/>
      <c r="I80" s="16"/>
      <c r="J80" s="16"/>
      <c r="K80" s="40"/>
      <c r="L80" s="16"/>
      <c r="M80" s="25"/>
      <c r="N80" s="40"/>
      <c r="O80" s="16"/>
      <c r="P80" s="25"/>
      <c r="Q80" s="3"/>
      <c r="R80" s="17"/>
      <c r="S80" s="136"/>
    </row>
    <row r="81" spans="1:19" x14ac:dyDescent="0.3">
      <c r="A81" s="101" t="s">
        <v>66</v>
      </c>
      <c r="B81" s="102"/>
      <c r="C81" s="102" t="s">
        <v>61</v>
      </c>
      <c r="D81" s="103" t="s">
        <v>35</v>
      </c>
      <c r="E81" s="116">
        <v>0</v>
      </c>
      <c r="F81" s="16">
        <v>400</v>
      </c>
      <c r="G81" s="25">
        <f t="shared" ref="G81:G82" si="61">ROUND((+E81*F81),0)</f>
        <v>0</v>
      </c>
      <c r="H81" s="36">
        <v>4</v>
      </c>
      <c r="I81" s="16">
        <f>F81</f>
        <v>400</v>
      </c>
      <c r="J81" s="16">
        <f>ROUND((+H81*I81),0)</f>
        <v>1600</v>
      </c>
      <c r="K81" s="40">
        <v>0</v>
      </c>
      <c r="L81" s="16">
        <f>I81*(1+$B$10)</f>
        <v>412</v>
      </c>
      <c r="M81" s="25">
        <f>ROUND((+K81*L81),0)</f>
        <v>0</v>
      </c>
      <c r="N81" s="40">
        <v>0</v>
      </c>
      <c r="O81" s="16">
        <f>L81*(1+$B$10)</f>
        <v>424.36</v>
      </c>
      <c r="P81" s="25">
        <f>ROUND((+N81*O81),0)</f>
        <v>0</v>
      </c>
      <c r="Q81" s="39">
        <f>E81+H81+K81+N81</f>
        <v>4</v>
      </c>
      <c r="R81" s="17">
        <f>G81+J81+M81+P81</f>
        <v>1600</v>
      </c>
      <c r="S81" s="136"/>
    </row>
    <row r="82" spans="1:19" x14ac:dyDescent="0.3">
      <c r="A82" s="101" t="s">
        <v>67</v>
      </c>
      <c r="B82" s="102"/>
      <c r="C82" s="102" t="s">
        <v>110</v>
      </c>
      <c r="D82" s="103" t="s">
        <v>35</v>
      </c>
      <c r="E82" s="116">
        <v>0</v>
      </c>
      <c r="F82" s="16">
        <v>400</v>
      </c>
      <c r="G82" s="25">
        <f t="shared" si="61"/>
        <v>0</v>
      </c>
      <c r="H82" s="36">
        <v>4</v>
      </c>
      <c r="I82" s="16">
        <f>F82</f>
        <v>400</v>
      </c>
      <c r="J82" s="16">
        <f>ROUND((+H82*I82),0)</f>
        <v>1600</v>
      </c>
      <c r="K82" s="40">
        <v>0</v>
      </c>
      <c r="L82" s="16">
        <f>I82*(1+$B$10)</f>
        <v>412</v>
      </c>
      <c r="M82" s="25">
        <f>ROUND((+K82*L82),0)</f>
        <v>0</v>
      </c>
      <c r="N82" s="40">
        <v>0</v>
      </c>
      <c r="O82" s="16">
        <f>L82*(1+$B$10)</f>
        <v>424.36</v>
      </c>
      <c r="P82" s="25">
        <f>ROUND((+N82*O82),0)</f>
        <v>0</v>
      </c>
      <c r="Q82" s="39">
        <f>E82+H82+K82+N82</f>
        <v>4</v>
      </c>
      <c r="R82" s="17">
        <f>G82+J82+M82+P82</f>
        <v>1600</v>
      </c>
      <c r="S82" s="136"/>
    </row>
    <row r="83" spans="1:19" x14ac:dyDescent="0.3">
      <c r="A83" s="30"/>
      <c r="B83" s="3"/>
      <c r="C83" s="3"/>
      <c r="D83" s="65"/>
      <c r="E83" s="50"/>
      <c r="F83" s="17"/>
      <c r="G83" s="54"/>
      <c r="H83" s="41"/>
      <c r="I83" s="17"/>
      <c r="J83" s="29"/>
      <c r="K83" s="50"/>
      <c r="L83" s="17"/>
      <c r="M83" s="54"/>
      <c r="N83" s="50"/>
      <c r="O83" s="17"/>
      <c r="P83" s="54"/>
      <c r="Q83" s="3"/>
      <c r="R83" s="17" t="s">
        <v>4</v>
      </c>
      <c r="S83" s="136"/>
    </row>
    <row r="84" spans="1:19" ht="16.2" thickBot="1" x14ac:dyDescent="0.35">
      <c r="A84" s="34" t="s">
        <v>48</v>
      </c>
      <c r="B84" s="22"/>
      <c r="C84" s="22"/>
      <c r="D84" s="66"/>
      <c r="E84" s="51"/>
      <c r="F84" s="23"/>
      <c r="G84" s="33">
        <f>SUM(G81:G82)</f>
        <v>0</v>
      </c>
      <c r="H84" s="42"/>
      <c r="I84" s="23"/>
      <c r="J84" s="23">
        <f>SUM(J81:J82)</f>
        <v>3200</v>
      </c>
      <c r="K84" s="51"/>
      <c r="L84" s="23"/>
      <c r="M84" s="33">
        <f>SUM(M81:M82)</f>
        <v>0</v>
      </c>
      <c r="N84" s="51"/>
      <c r="O84" s="23"/>
      <c r="P84" s="33">
        <f>SUM(P81:P82)</f>
        <v>0</v>
      </c>
      <c r="Q84" s="22"/>
      <c r="R84" s="23">
        <f>SUM(R81:R82)</f>
        <v>3200</v>
      </c>
      <c r="S84" s="136">
        <f>G84+J84+M84+P84</f>
        <v>3200</v>
      </c>
    </row>
    <row r="85" spans="1:19" ht="16.2" thickTop="1" x14ac:dyDescent="0.3">
      <c r="A85" s="48"/>
      <c r="B85" s="1"/>
      <c r="C85" s="1"/>
      <c r="D85" s="63"/>
      <c r="E85" s="40"/>
      <c r="F85" s="16"/>
      <c r="G85" s="25"/>
      <c r="H85" s="36"/>
      <c r="I85" s="16"/>
      <c r="J85" s="83"/>
      <c r="K85" s="40"/>
      <c r="L85" s="16"/>
      <c r="M85" s="55"/>
      <c r="N85" s="40"/>
      <c r="O85" s="16"/>
      <c r="P85" s="55"/>
      <c r="Q85" s="3"/>
      <c r="R85" s="17"/>
      <c r="S85" s="136"/>
    </row>
    <row r="86" spans="1:19" x14ac:dyDescent="0.3">
      <c r="A86" s="30" t="s">
        <v>18</v>
      </c>
      <c r="B86" s="1"/>
      <c r="C86" s="1"/>
      <c r="D86" s="63"/>
      <c r="E86" s="40"/>
      <c r="F86" s="16"/>
      <c r="G86" s="25"/>
      <c r="H86" s="36"/>
      <c r="I86" s="16"/>
      <c r="J86" s="16"/>
      <c r="K86" s="40"/>
      <c r="L86" s="16"/>
      <c r="M86" s="25"/>
      <c r="N86" s="40"/>
      <c r="O86" s="16"/>
      <c r="P86" s="25"/>
      <c r="Q86" s="3"/>
      <c r="R86" s="17"/>
      <c r="S86" s="136"/>
    </row>
    <row r="87" spans="1:19" x14ac:dyDescent="0.3">
      <c r="A87" s="101" t="s">
        <v>126</v>
      </c>
      <c r="B87" s="105"/>
      <c r="C87" s="102" t="s">
        <v>127</v>
      </c>
      <c r="D87" s="103" t="s">
        <v>172</v>
      </c>
      <c r="E87" s="116">
        <v>0</v>
      </c>
      <c r="F87" s="16">
        <v>60</v>
      </c>
      <c r="G87" s="25">
        <f>ROUND((+E87*F87),0)</f>
        <v>0</v>
      </c>
      <c r="H87" s="116">
        <v>6</v>
      </c>
      <c r="I87" s="16">
        <f>F87</f>
        <v>60</v>
      </c>
      <c r="J87" s="16">
        <f>ROUND((+H87*I87),0)</f>
        <v>360</v>
      </c>
      <c r="K87" s="116">
        <f>IF(B11=1, 2+1+2, 4+1+2)</f>
        <v>5</v>
      </c>
      <c r="L87" s="16">
        <f>I87*(1+$B$10)</f>
        <v>61.800000000000004</v>
      </c>
      <c r="M87" s="25">
        <f>ROUND((+K87*L87),0)</f>
        <v>309</v>
      </c>
      <c r="N87" s="116">
        <f>IF(B11=1, 2+1+2, 4+1+2)</f>
        <v>5</v>
      </c>
      <c r="O87" s="16">
        <f>L87*(1+$B$10)</f>
        <v>63.654000000000003</v>
      </c>
      <c r="P87" s="25">
        <f>ROUND((+N87*O87),0)</f>
        <v>318</v>
      </c>
      <c r="Q87" s="70">
        <f>E87+H87+K87+N87</f>
        <v>16</v>
      </c>
      <c r="R87" s="17">
        <f>G87+J87+M87+P87</f>
        <v>987</v>
      </c>
      <c r="S87" s="136"/>
    </row>
    <row r="88" spans="1:19" x14ac:dyDescent="0.3">
      <c r="A88" s="28"/>
      <c r="B88" s="1"/>
      <c r="C88" s="1"/>
      <c r="D88" s="63"/>
      <c r="E88" s="40"/>
      <c r="F88" s="16"/>
      <c r="G88" s="25"/>
      <c r="H88" s="36"/>
      <c r="I88" s="16"/>
      <c r="J88" s="16"/>
      <c r="K88" s="40"/>
      <c r="L88" s="16"/>
      <c r="M88" s="25"/>
      <c r="N88" s="40"/>
      <c r="O88" s="16"/>
      <c r="P88" s="25"/>
      <c r="Q88" s="3"/>
      <c r="R88" s="17" t="s">
        <v>4</v>
      </c>
      <c r="S88" s="162"/>
    </row>
    <row r="89" spans="1:19" s="18" customFormat="1" ht="16.2" thickBot="1" x14ac:dyDescent="0.35">
      <c r="A89" s="34" t="s">
        <v>49</v>
      </c>
      <c r="B89" s="22"/>
      <c r="C89" s="22"/>
      <c r="D89" s="66"/>
      <c r="E89" s="51"/>
      <c r="F89" s="23"/>
      <c r="G89" s="33">
        <f>G87</f>
        <v>0</v>
      </c>
      <c r="H89" s="42"/>
      <c r="I89" s="23"/>
      <c r="J89" s="23">
        <f>J87</f>
        <v>360</v>
      </c>
      <c r="K89" s="51"/>
      <c r="L89" s="23"/>
      <c r="M89" s="33">
        <f>M87</f>
        <v>309</v>
      </c>
      <c r="N89" s="51"/>
      <c r="O89" s="23"/>
      <c r="P89" s="33">
        <f>P87</f>
        <v>318</v>
      </c>
      <c r="Q89" s="22"/>
      <c r="R89" s="23">
        <f>R87</f>
        <v>987</v>
      </c>
      <c r="S89" s="136">
        <f>G89+J89+M89+P89</f>
        <v>987</v>
      </c>
    </row>
    <row r="90" spans="1:19" ht="16.2" thickTop="1" x14ac:dyDescent="0.3">
      <c r="A90" s="30"/>
      <c r="B90" s="3"/>
      <c r="C90" s="3"/>
      <c r="D90" s="65"/>
      <c r="E90" s="40"/>
      <c r="F90" s="16"/>
      <c r="G90" s="25"/>
      <c r="K90" s="52"/>
      <c r="M90" s="57"/>
      <c r="N90" s="52"/>
      <c r="P90" s="57"/>
      <c r="Q90" s="3"/>
      <c r="R90" s="17"/>
      <c r="S90" s="136"/>
    </row>
    <row r="91" spans="1:19" s="18" customFormat="1" x14ac:dyDescent="0.3">
      <c r="A91" s="30" t="s">
        <v>19</v>
      </c>
      <c r="B91" s="3"/>
      <c r="C91" s="3"/>
      <c r="D91" s="65"/>
      <c r="E91" s="40"/>
      <c r="F91" s="16"/>
      <c r="G91" s="25"/>
      <c r="H91" s="43"/>
      <c r="I91" s="5"/>
      <c r="J91" s="5"/>
      <c r="K91" s="52"/>
      <c r="L91" s="5"/>
      <c r="M91" s="57"/>
      <c r="N91" s="52"/>
      <c r="O91" s="5"/>
      <c r="P91" s="57"/>
      <c r="Q91" s="3"/>
      <c r="S91" s="136"/>
    </row>
    <row r="92" spans="1:19" x14ac:dyDescent="0.3">
      <c r="A92" s="48"/>
      <c r="B92" s="1"/>
      <c r="C92" s="1"/>
      <c r="D92" s="63"/>
      <c r="E92" s="40"/>
      <c r="F92" s="16"/>
      <c r="G92" s="25"/>
      <c r="H92" s="36"/>
      <c r="I92" s="16"/>
      <c r="J92" s="16"/>
      <c r="K92" s="40"/>
      <c r="L92" s="16"/>
      <c r="M92" s="25"/>
      <c r="N92" s="40"/>
      <c r="O92" s="16"/>
      <c r="P92" s="25"/>
      <c r="Q92" s="3"/>
      <c r="R92" s="17"/>
      <c r="S92" s="136"/>
    </row>
    <row r="93" spans="1:19" x14ac:dyDescent="0.3">
      <c r="A93" s="97" t="s">
        <v>22</v>
      </c>
      <c r="B93" s="15"/>
      <c r="C93" s="1"/>
      <c r="D93" s="63"/>
      <c r="E93" s="40"/>
      <c r="F93" s="16"/>
      <c r="G93" s="25"/>
      <c r="H93" s="36"/>
      <c r="I93" s="16"/>
      <c r="J93" s="16"/>
      <c r="K93" s="40"/>
      <c r="L93" s="16"/>
      <c r="M93" s="25"/>
      <c r="N93" s="40"/>
      <c r="O93" s="16"/>
      <c r="P93" s="25"/>
      <c r="Q93" s="26"/>
      <c r="R93" s="17"/>
      <c r="S93" s="136"/>
    </row>
    <row r="94" spans="1:19" x14ac:dyDescent="0.3">
      <c r="A94" s="90" t="s">
        <v>56</v>
      </c>
      <c r="B94" s="15"/>
      <c r="C94" s="1" t="s">
        <v>128</v>
      </c>
      <c r="D94" s="63" t="s">
        <v>34</v>
      </c>
      <c r="E94" s="40">
        <v>0</v>
      </c>
      <c r="F94" s="16">
        <v>500</v>
      </c>
      <c r="G94" s="25">
        <f t="shared" ref="G94" si="62">ROUND((+E94*F94),0)</f>
        <v>0</v>
      </c>
      <c r="H94" s="36">
        <v>1</v>
      </c>
      <c r="I94" s="16">
        <f>F94</f>
        <v>500</v>
      </c>
      <c r="J94" s="16">
        <f>ROUND((+H94*I94),0)</f>
        <v>500</v>
      </c>
      <c r="K94" s="40">
        <v>1</v>
      </c>
      <c r="L94" s="16">
        <f>I94*(1+$B$10)</f>
        <v>515</v>
      </c>
      <c r="M94" s="25">
        <f>ROUND((+K94*L94),0)</f>
        <v>515</v>
      </c>
      <c r="N94" s="40">
        <v>1</v>
      </c>
      <c r="O94" s="16">
        <f>L94*(1+$B$10)</f>
        <v>530.45000000000005</v>
      </c>
      <c r="P94" s="25">
        <f>ROUND((+N94*O94),0)</f>
        <v>530</v>
      </c>
      <c r="Q94" s="39">
        <f>E94+H94+K94+N94</f>
        <v>3</v>
      </c>
      <c r="R94" s="17">
        <f>G94+J94+M94+P94</f>
        <v>1545</v>
      </c>
      <c r="S94" s="136"/>
    </row>
    <row r="95" spans="1:19" x14ac:dyDescent="0.3">
      <c r="A95" s="90" t="s">
        <v>80</v>
      </c>
      <c r="B95" s="1"/>
      <c r="C95" s="1"/>
      <c r="D95" s="63"/>
      <c r="E95" s="40"/>
      <c r="F95" s="16"/>
      <c r="G95" s="25"/>
      <c r="H95" s="36"/>
      <c r="I95" s="16"/>
      <c r="J95" s="16"/>
      <c r="K95" s="40"/>
      <c r="L95" s="16"/>
      <c r="M95" s="25"/>
      <c r="N95" s="40"/>
      <c r="O95" s="16"/>
      <c r="P95" s="25"/>
      <c r="Q95" s="39"/>
      <c r="R95" s="17"/>
      <c r="S95" s="136"/>
    </row>
    <row r="96" spans="1:19" x14ac:dyDescent="0.3">
      <c r="A96" s="28" t="s">
        <v>80</v>
      </c>
      <c r="B96" s="1"/>
      <c r="C96" s="1" t="s">
        <v>129</v>
      </c>
      <c r="D96" s="63" t="s">
        <v>173</v>
      </c>
      <c r="E96" s="40">
        <v>0</v>
      </c>
      <c r="F96" s="16">
        <v>200</v>
      </c>
      <c r="G96" s="25">
        <f>ROUND((+E96*F96),0)</f>
        <v>0</v>
      </c>
      <c r="H96" s="40">
        <v>2</v>
      </c>
      <c r="I96" s="16">
        <v>200</v>
      </c>
      <c r="J96" s="25">
        <f t="shared" ref="J96" si="63">ROUND((+H96*I96),0)</f>
        <v>400</v>
      </c>
      <c r="K96" s="40">
        <v>2</v>
      </c>
      <c r="L96" s="16">
        <f t="shared" ref="L96" si="64">I96*(1+$B$10)</f>
        <v>206</v>
      </c>
      <c r="M96" s="25">
        <f t="shared" ref="M96" si="65">ROUND((+K96*L96),0)</f>
        <v>412</v>
      </c>
      <c r="N96" s="40">
        <v>2</v>
      </c>
      <c r="O96" s="16">
        <f>L96*(1+$B$10)</f>
        <v>212.18</v>
      </c>
      <c r="P96" s="25">
        <f t="shared" ref="P96" si="66">ROUND((+N96*O96),0)</f>
        <v>424</v>
      </c>
      <c r="Q96" s="39">
        <f>E96+H96+K96+N96</f>
        <v>6</v>
      </c>
      <c r="R96" s="17">
        <f>G96+J96+M96+P96</f>
        <v>1236</v>
      </c>
      <c r="S96" s="136"/>
    </row>
    <row r="97" spans="1:19" x14ac:dyDescent="0.3">
      <c r="A97" s="90" t="s">
        <v>81</v>
      </c>
      <c r="B97" s="1"/>
      <c r="C97" s="1"/>
      <c r="D97" s="63"/>
      <c r="E97" s="40"/>
      <c r="F97" s="16"/>
      <c r="G97" s="25"/>
      <c r="H97" s="36"/>
      <c r="I97" s="16"/>
      <c r="J97" s="16"/>
      <c r="K97" s="40"/>
      <c r="L97" s="16"/>
      <c r="M97" s="25"/>
      <c r="N97" s="40"/>
      <c r="O97" s="16"/>
      <c r="P97" s="25"/>
      <c r="Q97" s="112"/>
      <c r="R97" s="17"/>
      <c r="S97" s="136"/>
    </row>
    <row r="98" spans="1:19" x14ac:dyDescent="0.3">
      <c r="A98" s="101" t="s">
        <v>131</v>
      </c>
      <c r="B98" s="1"/>
      <c r="C98" s="102"/>
      <c r="D98" s="103" t="s">
        <v>176</v>
      </c>
      <c r="E98" s="116">
        <v>0</v>
      </c>
      <c r="F98" s="129">
        <v>2000</v>
      </c>
      <c r="G98" s="128">
        <f t="shared" ref="G98" si="67">ROUND((+E98*F98),0)</f>
        <v>0</v>
      </c>
      <c r="H98" s="116" t="str">
        <f>IF(B15="Yes", "1", "0")</f>
        <v>1</v>
      </c>
      <c r="I98" s="129">
        <f>F98</f>
        <v>2000</v>
      </c>
      <c r="J98" s="129">
        <f>ROUND((+H98*I98),0)</f>
        <v>2000</v>
      </c>
      <c r="K98" s="116" t="str">
        <f>IF(B15="Yes", "1", "0")</f>
        <v>1</v>
      </c>
      <c r="L98" s="129">
        <f>I98*(1+$B$10)</f>
        <v>2060</v>
      </c>
      <c r="M98" s="128">
        <f>ROUND((+K98*L98),0)</f>
        <v>2060</v>
      </c>
      <c r="N98" s="116" t="str">
        <f>IF(B15="Yes", "1", "0")</f>
        <v>1</v>
      </c>
      <c r="O98" s="129">
        <f>L98*(1+$B$10)</f>
        <v>2121.8000000000002</v>
      </c>
      <c r="P98" s="128">
        <f>ROUND((+N98*O98),0)</f>
        <v>2122</v>
      </c>
      <c r="Q98" s="112">
        <f>E98+H98+K98+N98</f>
        <v>3</v>
      </c>
      <c r="R98" s="17">
        <f>G98+J98+M98+P98</f>
        <v>6182</v>
      </c>
      <c r="S98" s="136"/>
    </row>
    <row r="99" spans="1:19" ht="13.5" customHeight="1" x14ac:dyDescent="0.3">
      <c r="A99" s="90" t="s">
        <v>39</v>
      </c>
      <c r="B99" s="15"/>
      <c r="C99" s="1"/>
      <c r="D99" s="63"/>
      <c r="E99" s="40"/>
      <c r="F99" s="16"/>
      <c r="G99" s="25"/>
      <c r="H99" s="36"/>
      <c r="I99" s="16"/>
      <c r="J99" s="16"/>
      <c r="K99" s="40"/>
      <c r="L99" s="16"/>
      <c r="M99" s="25"/>
      <c r="N99" s="40"/>
      <c r="O99" s="16"/>
      <c r="P99" s="25"/>
      <c r="Q99" s="39"/>
      <c r="R99" s="17"/>
      <c r="S99" s="136"/>
    </row>
    <row r="100" spans="1:19" x14ac:dyDescent="0.3">
      <c r="A100" s="28" t="s">
        <v>64</v>
      </c>
      <c r="B100" s="15"/>
      <c r="C100" s="1" t="s">
        <v>132</v>
      </c>
      <c r="D100" s="63" t="s">
        <v>34</v>
      </c>
      <c r="E100" s="40">
        <v>0</v>
      </c>
      <c r="F100" s="16">
        <v>3000</v>
      </c>
      <c r="G100" s="25">
        <f t="shared" ref="G100:G101" si="68">ROUND((+E100*F100),0)</f>
        <v>0</v>
      </c>
      <c r="H100" s="36">
        <v>0</v>
      </c>
      <c r="I100" s="16">
        <f t="shared" ref="I100:I101" si="69">F100</f>
        <v>3000</v>
      </c>
      <c r="J100" s="16">
        <f t="shared" ref="J100:J101" si="70">ROUND((+H100*I100),0)</f>
        <v>0</v>
      </c>
      <c r="K100" s="40">
        <v>0</v>
      </c>
      <c r="L100" s="16">
        <f t="shared" ref="L100:L101" si="71">I100*(1+$B$10)</f>
        <v>3090</v>
      </c>
      <c r="M100" s="25">
        <f t="shared" ref="M100:M101" si="72">ROUND((+K100*L100),0)</f>
        <v>0</v>
      </c>
      <c r="N100" s="40">
        <v>1</v>
      </c>
      <c r="O100" s="16">
        <f t="shared" ref="O100:O101" si="73">L100*(1+$B$10)</f>
        <v>3182.7000000000003</v>
      </c>
      <c r="P100" s="25">
        <f t="shared" ref="P100:P101" si="74">ROUND((+N100*O100),0)</f>
        <v>3183</v>
      </c>
      <c r="Q100" s="39">
        <f t="shared" ref="Q100:Q101" si="75">E100+H100+K100+N100</f>
        <v>1</v>
      </c>
      <c r="R100" s="17">
        <f>G100+J100+M100+P100</f>
        <v>3183</v>
      </c>
      <c r="S100" s="136"/>
    </row>
    <row r="101" spans="1:19" x14ac:dyDescent="0.3">
      <c r="A101" s="28" t="s">
        <v>20</v>
      </c>
      <c r="B101" s="1"/>
      <c r="C101" s="1" t="s">
        <v>133</v>
      </c>
      <c r="D101" s="63" t="s">
        <v>34</v>
      </c>
      <c r="E101" s="40">
        <v>0</v>
      </c>
      <c r="F101" s="16">
        <v>2500</v>
      </c>
      <c r="G101" s="25">
        <f t="shared" si="68"/>
        <v>0</v>
      </c>
      <c r="H101" s="36">
        <v>0</v>
      </c>
      <c r="I101" s="16">
        <f t="shared" si="69"/>
        <v>2500</v>
      </c>
      <c r="J101" s="16">
        <f t="shared" si="70"/>
        <v>0</v>
      </c>
      <c r="K101" s="40">
        <v>0</v>
      </c>
      <c r="L101" s="16">
        <f t="shared" si="71"/>
        <v>2575</v>
      </c>
      <c r="M101" s="25">
        <f t="shared" si="72"/>
        <v>0</v>
      </c>
      <c r="N101" s="40">
        <v>1</v>
      </c>
      <c r="O101" s="16">
        <f t="shared" si="73"/>
        <v>2652.25</v>
      </c>
      <c r="P101" s="25">
        <f t="shared" si="74"/>
        <v>2652</v>
      </c>
      <c r="Q101" s="39">
        <f t="shared" si="75"/>
        <v>1</v>
      </c>
      <c r="R101" s="17">
        <f>G101+J101+M101+P101</f>
        <v>2652</v>
      </c>
      <c r="S101" s="136"/>
    </row>
    <row r="102" spans="1:19" x14ac:dyDescent="0.3">
      <c r="A102" s="28"/>
      <c r="B102" s="1"/>
      <c r="C102" s="1"/>
      <c r="D102" s="63"/>
      <c r="E102" s="40"/>
      <c r="F102" s="16"/>
      <c r="G102" s="25"/>
      <c r="H102" s="36"/>
      <c r="I102" s="16"/>
      <c r="J102" s="16"/>
      <c r="K102" s="40"/>
      <c r="L102" s="16"/>
      <c r="M102" s="25"/>
      <c r="N102" s="40"/>
      <c r="O102" s="16"/>
      <c r="P102" s="25"/>
      <c r="Q102" s="39"/>
      <c r="R102" s="17"/>
      <c r="S102" s="136"/>
    </row>
    <row r="103" spans="1:19" x14ac:dyDescent="0.3">
      <c r="A103" s="96" t="s">
        <v>93</v>
      </c>
      <c r="B103" s="3"/>
      <c r="C103" s="3"/>
      <c r="D103" s="65"/>
      <c r="E103" s="50"/>
      <c r="F103" s="17"/>
      <c r="G103" s="35">
        <f>SUM(G94:G102)</f>
        <v>0</v>
      </c>
      <c r="H103" s="41"/>
      <c r="I103" s="17"/>
      <c r="J103" s="17">
        <f>SUM(J94:J102)</f>
        <v>2900</v>
      </c>
      <c r="K103" s="50"/>
      <c r="L103" s="17"/>
      <c r="M103" s="35">
        <f>SUM(M94:M102)</f>
        <v>2987</v>
      </c>
      <c r="N103" s="50"/>
      <c r="O103" s="17"/>
      <c r="P103" s="35">
        <f>SUM(P94:P102)</f>
        <v>8911</v>
      </c>
      <c r="Q103" s="39"/>
      <c r="R103" s="17">
        <f>G103+J103+M103+P103</f>
        <v>14798</v>
      </c>
      <c r="S103" s="136">
        <f>SUM(R94:R101)</f>
        <v>14798</v>
      </c>
    </row>
    <row r="104" spans="1:19" x14ac:dyDescent="0.3">
      <c r="A104" s="28"/>
      <c r="B104" s="1"/>
      <c r="C104" s="3"/>
      <c r="D104" s="65"/>
      <c r="E104" s="40"/>
      <c r="F104" s="16"/>
      <c r="G104" s="25"/>
      <c r="H104" s="36"/>
      <c r="I104" s="16"/>
      <c r="J104" s="16"/>
      <c r="K104" s="40"/>
      <c r="L104" s="16"/>
      <c r="M104" s="25"/>
      <c r="N104" s="40"/>
      <c r="O104" s="16"/>
      <c r="P104" s="25"/>
      <c r="Q104" s="39"/>
      <c r="R104" s="17"/>
      <c r="S104" s="136"/>
    </row>
    <row r="105" spans="1:19" x14ac:dyDescent="0.3">
      <c r="A105" s="97" t="s">
        <v>23</v>
      </c>
      <c r="B105" s="15"/>
      <c r="C105" s="1" t="s">
        <v>135</v>
      </c>
      <c r="D105" s="63"/>
      <c r="E105" s="40"/>
      <c r="F105" s="16"/>
      <c r="G105" s="25"/>
      <c r="H105" s="36"/>
      <c r="I105" s="16"/>
      <c r="J105" s="16"/>
      <c r="K105" s="40"/>
      <c r="L105" s="16"/>
      <c r="M105" s="25"/>
      <c r="N105" s="40"/>
      <c r="O105" s="16"/>
      <c r="P105" s="25"/>
      <c r="Q105" s="39"/>
      <c r="R105" s="17"/>
      <c r="S105" s="136"/>
    </row>
    <row r="106" spans="1:19" x14ac:dyDescent="0.3">
      <c r="A106" s="90" t="s">
        <v>29</v>
      </c>
      <c r="B106" s="15"/>
      <c r="C106" s="1"/>
      <c r="D106" s="63"/>
      <c r="E106" s="40"/>
      <c r="F106" s="16"/>
      <c r="G106" s="25"/>
      <c r="H106" s="36"/>
      <c r="I106" s="16"/>
      <c r="J106" s="16"/>
      <c r="K106" s="40"/>
      <c r="L106" s="16"/>
      <c r="M106" s="25"/>
      <c r="N106" s="40"/>
      <c r="O106" s="16"/>
      <c r="P106" s="25"/>
      <c r="Q106" s="39"/>
      <c r="R106" s="17"/>
      <c r="S106" s="136"/>
    </row>
    <row r="107" spans="1:19" x14ac:dyDescent="0.3">
      <c r="A107" s="28" t="s">
        <v>33</v>
      </c>
      <c r="B107" s="15"/>
      <c r="C107" s="1" t="s">
        <v>177</v>
      </c>
      <c r="D107" s="63" t="s">
        <v>178</v>
      </c>
      <c r="E107" s="116">
        <v>0</v>
      </c>
      <c r="F107" s="16">
        <v>100</v>
      </c>
      <c r="G107" s="25">
        <f t="shared" ref="G107" si="76">ROUND((+E107*F107),0)</f>
        <v>0</v>
      </c>
      <c r="H107" s="40">
        <f>3*2</f>
        <v>6</v>
      </c>
      <c r="I107" s="16">
        <f t="shared" ref="I107" si="77">F107</f>
        <v>100</v>
      </c>
      <c r="J107" s="16">
        <f t="shared" ref="J107" si="78">ROUND((+H107*I107),0)</f>
        <v>600</v>
      </c>
      <c r="K107" s="40">
        <f>3*2</f>
        <v>6</v>
      </c>
      <c r="L107" s="16">
        <f t="shared" ref="L107" si="79">I107*(1+$B$10)</f>
        <v>103</v>
      </c>
      <c r="M107" s="25">
        <f t="shared" ref="M107" si="80">ROUND((+K107*L107),0)</f>
        <v>618</v>
      </c>
      <c r="N107" s="40">
        <f>3*2</f>
        <v>6</v>
      </c>
      <c r="O107" s="16">
        <f t="shared" ref="O107" si="81">L107*(1+$B$10)</f>
        <v>106.09</v>
      </c>
      <c r="P107" s="25">
        <f t="shared" ref="P107" si="82">ROUND((+N107*O107),0)</f>
        <v>637</v>
      </c>
      <c r="Q107" s="39">
        <f t="shared" ref="Q107" si="83">E107+H107+K107+N107</f>
        <v>18</v>
      </c>
      <c r="R107" s="17">
        <f>G107+J107+M107+P107</f>
        <v>1855</v>
      </c>
      <c r="S107" s="92"/>
    </row>
    <row r="108" spans="1:19" x14ac:dyDescent="0.3">
      <c r="A108" s="90" t="s">
        <v>31</v>
      </c>
      <c r="B108" s="59"/>
      <c r="C108" s="1"/>
      <c r="D108" s="124"/>
      <c r="E108" s="40"/>
      <c r="F108" s="16"/>
      <c r="G108" s="25"/>
      <c r="H108" s="36"/>
      <c r="I108" s="16"/>
      <c r="J108" s="16"/>
      <c r="K108" s="40"/>
      <c r="L108" s="16"/>
      <c r="M108" s="25"/>
      <c r="N108" s="40"/>
      <c r="O108" s="16"/>
      <c r="P108" s="25"/>
      <c r="Q108" s="39"/>
      <c r="R108" s="17"/>
      <c r="S108" s="136"/>
    </row>
    <row r="109" spans="1:19" x14ac:dyDescent="0.3">
      <c r="A109" s="138" t="s">
        <v>65</v>
      </c>
      <c r="B109" s="15"/>
      <c r="C109" s="1" t="s">
        <v>140</v>
      </c>
      <c r="D109" s="63" t="s">
        <v>156</v>
      </c>
      <c r="E109" s="40">
        <v>0</v>
      </c>
      <c r="F109" s="16">
        <v>200</v>
      </c>
      <c r="G109" s="25">
        <f t="shared" ref="G109:G112" si="84">ROUND((+E109*F109),0)</f>
        <v>0</v>
      </c>
      <c r="H109" s="36">
        <v>2</v>
      </c>
      <c r="I109" s="16">
        <f t="shared" ref="I109:I111" si="85">F109</f>
        <v>200</v>
      </c>
      <c r="J109" s="16">
        <f t="shared" ref="J109" si="86">ROUND((+H109*I109),0)</f>
        <v>400</v>
      </c>
      <c r="K109" s="40">
        <v>2</v>
      </c>
      <c r="L109" s="16">
        <f t="shared" ref="L109:L112" si="87">I109*(1+$B$10)</f>
        <v>206</v>
      </c>
      <c r="M109" s="25">
        <f t="shared" ref="M109:M112" si="88">ROUND((+K109*L109),0)</f>
        <v>412</v>
      </c>
      <c r="N109" s="40">
        <v>2</v>
      </c>
      <c r="O109" s="16">
        <f t="shared" ref="O109:O112" si="89">L109*(1+$B$10)</f>
        <v>212.18</v>
      </c>
      <c r="P109" s="25">
        <f t="shared" ref="P109:P112" si="90">ROUND((+N109*O109),0)</f>
        <v>424</v>
      </c>
      <c r="Q109" s="39">
        <f t="shared" ref="Q109:Q112" si="91">E109+H109+K109+N109</f>
        <v>6</v>
      </c>
      <c r="R109" s="17">
        <f>G109+J109+M109+P109</f>
        <v>1236</v>
      </c>
      <c r="S109" s="92"/>
    </row>
    <row r="110" spans="1:19" x14ac:dyDescent="0.3">
      <c r="A110" s="28" t="s">
        <v>28</v>
      </c>
      <c r="B110" s="15"/>
      <c r="C110" s="1" t="s">
        <v>111</v>
      </c>
      <c r="D110" s="63" t="s">
        <v>156</v>
      </c>
      <c r="E110" s="116">
        <v>0</v>
      </c>
      <c r="F110" s="16">
        <v>50</v>
      </c>
      <c r="G110" s="25">
        <f t="shared" si="84"/>
        <v>0</v>
      </c>
      <c r="H110" s="116">
        <v>3</v>
      </c>
      <c r="I110" s="16">
        <f t="shared" si="85"/>
        <v>50</v>
      </c>
      <c r="J110" s="16">
        <f>ROUND((+H110*I110),0)</f>
        <v>150</v>
      </c>
      <c r="K110" s="116">
        <v>3</v>
      </c>
      <c r="L110" s="16">
        <f t="shared" si="87"/>
        <v>51.5</v>
      </c>
      <c r="M110" s="25">
        <f t="shared" si="88"/>
        <v>155</v>
      </c>
      <c r="N110" s="116">
        <v>3</v>
      </c>
      <c r="O110" s="16">
        <f t="shared" si="89"/>
        <v>53.045000000000002</v>
      </c>
      <c r="P110" s="25">
        <f t="shared" si="90"/>
        <v>159</v>
      </c>
      <c r="Q110" s="39">
        <f t="shared" si="91"/>
        <v>9</v>
      </c>
      <c r="R110" s="17">
        <f>G110+J110+M110+P110</f>
        <v>464</v>
      </c>
      <c r="S110" s="92"/>
    </row>
    <row r="111" spans="1:19" x14ac:dyDescent="0.3">
      <c r="A111" s="101" t="s">
        <v>119</v>
      </c>
      <c r="B111" s="105"/>
      <c r="C111" s="102" t="s">
        <v>179</v>
      </c>
      <c r="D111" s="103" t="s">
        <v>181</v>
      </c>
      <c r="E111" s="116">
        <v>0</v>
      </c>
      <c r="F111" s="16">
        <v>75</v>
      </c>
      <c r="G111" s="25">
        <f t="shared" si="84"/>
        <v>0</v>
      </c>
      <c r="H111" s="116">
        <v>0</v>
      </c>
      <c r="I111" s="16">
        <f t="shared" si="85"/>
        <v>75</v>
      </c>
      <c r="J111" s="16">
        <f t="shared" ref="J111:J112" si="92">ROUND((+H111*I111),0)</f>
        <v>0</v>
      </c>
      <c r="K111" s="116">
        <v>0</v>
      </c>
      <c r="L111" s="16">
        <f t="shared" si="87"/>
        <v>77.25</v>
      </c>
      <c r="M111" s="25">
        <f t="shared" si="88"/>
        <v>0</v>
      </c>
      <c r="N111" s="116">
        <v>0</v>
      </c>
      <c r="O111" s="16">
        <f t="shared" si="89"/>
        <v>79.567499999999995</v>
      </c>
      <c r="P111" s="25">
        <f t="shared" si="90"/>
        <v>0</v>
      </c>
      <c r="Q111" s="39">
        <f t="shared" si="91"/>
        <v>0</v>
      </c>
      <c r="R111" s="17">
        <f>G111+J111+M111+P111</f>
        <v>0</v>
      </c>
      <c r="S111" s="136"/>
    </row>
    <row r="112" spans="1:19" x14ac:dyDescent="0.3">
      <c r="A112" s="101" t="s">
        <v>117</v>
      </c>
      <c r="B112" s="105"/>
      <c r="C112" s="102" t="s">
        <v>180</v>
      </c>
      <c r="D112" s="103" t="s">
        <v>171</v>
      </c>
      <c r="E112" s="116">
        <v>0</v>
      </c>
      <c r="F112" s="16">
        <v>50</v>
      </c>
      <c r="G112" s="25">
        <f t="shared" si="84"/>
        <v>0</v>
      </c>
      <c r="H112" s="116">
        <f>IF(B11=1, (2+1+3)*2, (4+1+3)*2)</f>
        <v>12</v>
      </c>
      <c r="I112" s="16">
        <v>50</v>
      </c>
      <c r="J112" s="16">
        <f t="shared" si="92"/>
        <v>600</v>
      </c>
      <c r="K112" s="116">
        <f>IF(B11=1, (2+1+3)*2, (4+1+3)*2)</f>
        <v>12</v>
      </c>
      <c r="L112" s="16">
        <f t="shared" si="87"/>
        <v>51.5</v>
      </c>
      <c r="M112" s="25">
        <f t="shared" si="88"/>
        <v>618</v>
      </c>
      <c r="N112" s="116">
        <f>IF(B11=1, (2+1+3)*2, (4+1+3)*2)</f>
        <v>12</v>
      </c>
      <c r="O112" s="16">
        <f t="shared" si="89"/>
        <v>53.045000000000002</v>
      </c>
      <c r="P112" s="25">
        <f t="shared" si="90"/>
        <v>637</v>
      </c>
      <c r="Q112" s="39">
        <f t="shared" si="91"/>
        <v>36</v>
      </c>
      <c r="R112" s="17">
        <f>G112+J112+M112+P112</f>
        <v>1855</v>
      </c>
      <c r="S112" s="136"/>
    </row>
    <row r="113" spans="1:19" x14ac:dyDescent="0.3">
      <c r="A113" s="98"/>
      <c r="B113" s="59"/>
      <c r="C113" s="123"/>
      <c r="D113" s="124"/>
      <c r="E113" s="40"/>
      <c r="F113" s="16"/>
      <c r="G113" s="25"/>
      <c r="H113" s="36"/>
      <c r="I113" s="16"/>
      <c r="J113" s="16"/>
      <c r="K113" s="40"/>
      <c r="L113" s="16"/>
      <c r="M113" s="25"/>
      <c r="N113" s="40"/>
      <c r="O113" s="16"/>
      <c r="P113" s="25"/>
      <c r="Q113" s="39"/>
      <c r="R113" s="17"/>
      <c r="S113" s="136"/>
    </row>
    <row r="114" spans="1:19" x14ac:dyDescent="0.3">
      <c r="A114" s="96" t="s">
        <v>94</v>
      </c>
      <c r="B114" s="3"/>
      <c r="C114" s="3"/>
      <c r="D114" s="65"/>
      <c r="E114" s="50"/>
      <c r="F114" s="17"/>
      <c r="G114" s="35">
        <f>SUM(G107:G113)</f>
        <v>0</v>
      </c>
      <c r="H114" s="41"/>
      <c r="I114" s="17"/>
      <c r="J114" s="17">
        <f>SUM(J107:J113)</f>
        <v>1750</v>
      </c>
      <c r="K114" s="50"/>
      <c r="L114" s="17"/>
      <c r="M114" s="35">
        <f>SUM(M107:M113)</f>
        <v>1803</v>
      </c>
      <c r="N114" s="50"/>
      <c r="O114" s="17"/>
      <c r="P114" s="35">
        <f>SUM(P107:P113)</f>
        <v>1857</v>
      </c>
      <c r="Q114" s="39"/>
      <c r="R114" s="17">
        <f>G114+J114+M114+P114</f>
        <v>5410</v>
      </c>
      <c r="S114" s="136">
        <f>SUM(R107:R112)</f>
        <v>5410</v>
      </c>
    </row>
    <row r="115" spans="1:19" x14ac:dyDescent="0.3">
      <c r="A115" s="98"/>
      <c r="B115" s="59"/>
      <c r="C115" s="3"/>
      <c r="D115" s="65"/>
      <c r="E115" s="40"/>
      <c r="F115" s="16"/>
      <c r="G115" s="25"/>
      <c r="H115" s="36"/>
      <c r="I115" s="16"/>
      <c r="J115" s="16"/>
      <c r="K115" s="40"/>
      <c r="L115" s="16"/>
      <c r="M115" s="25"/>
      <c r="N115" s="40"/>
      <c r="O115" s="16"/>
      <c r="P115" s="25"/>
      <c r="Q115" s="39"/>
      <c r="R115" s="17"/>
      <c r="S115" s="136"/>
    </row>
    <row r="116" spans="1:19" x14ac:dyDescent="0.3">
      <c r="A116" s="97" t="s">
        <v>152</v>
      </c>
      <c r="B116" s="59"/>
      <c r="C116" s="3" t="s">
        <v>198</v>
      </c>
      <c r="D116" s="124"/>
      <c r="E116" s="40"/>
      <c r="F116" s="16"/>
      <c r="G116" s="25"/>
      <c r="H116" s="36"/>
      <c r="I116" s="16"/>
      <c r="J116" s="16"/>
      <c r="K116" s="40"/>
      <c r="L116" s="16"/>
      <c r="M116" s="25"/>
      <c r="N116" s="40"/>
      <c r="O116" s="16"/>
      <c r="P116" s="25"/>
      <c r="Q116" s="39"/>
      <c r="R116" s="17"/>
      <c r="S116" s="136"/>
    </row>
    <row r="117" spans="1:19" x14ac:dyDescent="0.3">
      <c r="A117" s="90" t="s">
        <v>153</v>
      </c>
      <c r="B117" s="15"/>
      <c r="C117" s="1"/>
      <c r="D117" s="63"/>
      <c r="E117" s="40"/>
      <c r="F117" s="16"/>
      <c r="G117" s="25"/>
      <c r="H117" s="36"/>
      <c r="I117" s="16"/>
      <c r="J117" s="16"/>
      <c r="K117" s="40"/>
      <c r="L117" s="16"/>
      <c r="M117" s="25"/>
      <c r="N117" s="40"/>
      <c r="O117" s="16"/>
      <c r="P117" s="25"/>
      <c r="Q117" s="39"/>
      <c r="R117" s="17"/>
      <c r="S117" s="136"/>
    </row>
    <row r="118" spans="1:19" x14ac:dyDescent="0.3">
      <c r="A118" s="101" t="s">
        <v>33</v>
      </c>
      <c r="B118" s="105"/>
      <c r="C118" s="102" t="s">
        <v>182</v>
      </c>
      <c r="D118" s="103" t="s">
        <v>175</v>
      </c>
      <c r="E118" s="40">
        <v>0</v>
      </c>
      <c r="F118" s="16">
        <v>100</v>
      </c>
      <c r="G118" s="25">
        <f t="shared" ref="G118" si="93">ROUND((+E118*F118),0)</f>
        <v>0</v>
      </c>
      <c r="H118" s="40">
        <f>IF(B11=1, 17*3, 10*3)</f>
        <v>51</v>
      </c>
      <c r="I118" s="16">
        <f t="shared" ref="I118" si="94">F118</f>
        <v>100</v>
      </c>
      <c r="J118" s="16">
        <f t="shared" ref="J118" si="95">ROUND((+H118*I118),0)</f>
        <v>5100</v>
      </c>
      <c r="K118" s="40">
        <f>IF(B11=1, 7*3, 5*3)</f>
        <v>21</v>
      </c>
      <c r="L118" s="16">
        <f t="shared" ref="L118" si="96">I118*(1+$B$10)</f>
        <v>103</v>
      </c>
      <c r="M118" s="25">
        <f t="shared" ref="M118" si="97">ROUND((+K118*L118),0)</f>
        <v>2163</v>
      </c>
      <c r="N118" s="40">
        <f>IF(B11=1, 7*3, 5*3)</f>
        <v>21</v>
      </c>
      <c r="O118" s="16">
        <f t="shared" ref="O118" si="98">L118*(1+$B$10)</f>
        <v>106.09</v>
      </c>
      <c r="P118" s="25">
        <f t="shared" ref="P118" si="99">ROUND((+N118*O118),0)</f>
        <v>2228</v>
      </c>
      <c r="Q118" s="39">
        <f t="shared" ref="Q118" si="100">E118+H118+K118+N118</f>
        <v>93</v>
      </c>
      <c r="R118" s="17">
        <f>G118+J118+M118+P118</f>
        <v>9491</v>
      </c>
      <c r="S118" s="136"/>
    </row>
    <row r="119" spans="1:19" x14ac:dyDescent="0.3">
      <c r="A119" s="90" t="s">
        <v>154</v>
      </c>
      <c r="B119" s="59"/>
      <c r="C119" s="123"/>
      <c r="D119" s="124"/>
      <c r="E119" s="40"/>
      <c r="F119" s="16"/>
      <c r="G119" s="25"/>
      <c r="H119" s="36"/>
      <c r="I119" s="16"/>
      <c r="J119" s="16"/>
      <c r="K119" s="40"/>
      <c r="L119" s="16"/>
      <c r="M119" s="25"/>
      <c r="N119" s="40"/>
      <c r="O119" s="16"/>
      <c r="P119" s="25"/>
      <c r="Q119" s="39"/>
      <c r="R119" s="17"/>
      <c r="S119" s="136"/>
    </row>
    <row r="120" spans="1:19" x14ac:dyDescent="0.3">
      <c r="A120" s="106" t="s">
        <v>69</v>
      </c>
      <c r="B120" s="105"/>
      <c r="C120" s="167" t="s">
        <v>200</v>
      </c>
      <c r="D120" s="103" t="s">
        <v>175</v>
      </c>
      <c r="E120" s="116">
        <v>0</v>
      </c>
      <c r="F120" s="16">
        <v>150</v>
      </c>
      <c r="G120" s="16">
        <f t="shared" ref="G120" si="101">ROUND((+E120*F120),0)</f>
        <v>0</v>
      </c>
      <c r="H120" s="116">
        <f>IF(B11=1, 49*2, 27*4)</f>
        <v>98</v>
      </c>
      <c r="I120" s="16">
        <f>F120</f>
        <v>150</v>
      </c>
      <c r="J120" s="16">
        <f t="shared" ref="J120" si="102">ROUND((+H120*I120),0)</f>
        <v>14700</v>
      </c>
      <c r="K120" s="116">
        <f>IF(B11=1, 19*2, 12*4)</f>
        <v>38</v>
      </c>
      <c r="L120" s="16">
        <f t="shared" ref="L120" si="103">I120*(1+$B$10)</f>
        <v>154.5</v>
      </c>
      <c r="M120" s="16">
        <f t="shared" ref="M120" si="104">ROUND((+K120*L120),0)</f>
        <v>5871</v>
      </c>
      <c r="N120" s="116">
        <f>IF(B11=1, 19*2, 12*4)</f>
        <v>38</v>
      </c>
      <c r="O120" s="16">
        <f t="shared" ref="O120" si="105">L120*(1+$B$10)</f>
        <v>159.13499999999999</v>
      </c>
      <c r="P120" s="25">
        <f t="shared" ref="P120" si="106">ROUND((+N120*O120),0)</f>
        <v>6047</v>
      </c>
      <c r="Q120" s="39">
        <f t="shared" ref="Q120" si="107">E120+H120+K120+N120</f>
        <v>174</v>
      </c>
      <c r="R120" s="17">
        <f>G120+J120+M120+P120</f>
        <v>26618</v>
      </c>
      <c r="S120" s="136"/>
    </row>
    <row r="121" spans="1:19" x14ac:dyDescent="0.3">
      <c r="A121" s="101" t="s">
        <v>71</v>
      </c>
      <c r="B121" s="105"/>
      <c r="C121" s="167" t="s">
        <v>199</v>
      </c>
      <c r="D121" s="103" t="s">
        <v>171</v>
      </c>
      <c r="E121" s="116">
        <v>0</v>
      </c>
      <c r="F121" s="16">
        <v>200</v>
      </c>
      <c r="G121" s="16">
        <f t="shared" ref="G121:G123" si="108">ROUND((+E121*F121),0)</f>
        <v>0</v>
      </c>
      <c r="H121" s="116">
        <f>IF(B11=1, 49, 27*2)</f>
        <v>49</v>
      </c>
      <c r="I121" s="16">
        <f t="shared" ref="I121:I123" si="109">F121</f>
        <v>200</v>
      </c>
      <c r="J121" s="16">
        <f t="shared" ref="J121:J123" si="110">ROUND((+H121*I121),0)</f>
        <v>9800</v>
      </c>
      <c r="K121" s="116">
        <f>IF(B11=1, 19, 12*2)</f>
        <v>19</v>
      </c>
      <c r="L121" s="16">
        <f t="shared" ref="L121:L123" si="111">I121*(1+$B$10)</f>
        <v>206</v>
      </c>
      <c r="M121" s="16">
        <f t="shared" ref="M121:M123" si="112">ROUND((+K121*L121),0)</f>
        <v>3914</v>
      </c>
      <c r="N121" s="116">
        <f>IF(B11=1, 19, 12*2)</f>
        <v>19</v>
      </c>
      <c r="O121" s="16">
        <f t="shared" ref="O121:O123" si="113">L121*(1+$B$10)</f>
        <v>212.18</v>
      </c>
      <c r="P121" s="25">
        <f t="shared" ref="P121:P123" si="114">ROUND((+N121*O121),0)</f>
        <v>4031</v>
      </c>
      <c r="Q121" s="39">
        <f t="shared" ref="Q121:Q123" si="115">E121+H121+K121+N121</f>
        <v>87</v>
      </c>
      <c r="R121" s="17">
        <f t="shared" ref="R121:R123" si="116">G121+J121+M121+P121</f>
        <v>17745</v>
      </c>
      <c r="S121" s="92"/>
    </row>
    <row r="122" spans="1:19" x14ac:dyDescent="0.3">
      <c r="A122" s="101" t="s">
        <v>118</v>
      </c>
      <c r="B122" s="105"/>
      <c r="C122" s="102" t="s">
        <v>185</v>
      </c>
      <c r="D122" s="103" t="s">
        <v>175</v>
      </c>
      <c r="E122" s="116">
        <v>0</v>
      </c>
      <c r="F122" s="16">
        <v>10</v>
      </c>
      <c r="G122" s="16">
        <f t="shared" si="108"/>
        <v>0</v>
      </c>
      <c r="H122" s="116">
        <f>IF(B11=1, (2*49)+(15*3), (4*27)+(5*3))</f>
        <v>143</v>
      </c>
      <c r="I122" s="16">
        <v>10</v>
      </c>
      <c r="J122" s="16">
        <f t="shared" si="110"/>
        <v>1430</v>
      </c>
      <c r="K122" s="116">
        <f>IF(B11=1, (2*19)+(5*3), (4*12)+(3*3))</f>
        <v>53</v>
      </c>
      <c r="L122" s="16">
        <f t="shared" si="111"/>
        <v>10.3</v>
      </c>
      <c r="M122" s="16">
        <f t="shared" si="112"/>
        <v>546</v>
      </c>
      <c r="N122" s="116">
        <f>IF(B11=1, (2*19)+(5*3), (4*12)+(3*3))</f>
        <v>53</v>
      </c>
      <c r="O122" s="16">
        <f t="shared" si="113"/>
        <v>10.609000000000002</v>
      </c>
      <c r="P122" s="25">
        <f t="shared" si="114"/>
        <v>562</v>
      </c>
      <c r="Q122" s="39">
        <f>E122+H122+K122+N122</f>
        <v>249</v>
      </c>
      <c r="R122" s="17">
        <f>G122+J122+M122+P122</f>
        <v>2538</v>
      </c>
      <c r="S122" s="136"/>
    </row>
    <row r="123" spans="1:19" x14ac:dyDescent="0.3">
      <c r="A123" s="28" t="s">
        <v>155</v>
      </c>
      <c r="B123" s="15"/>
      <c r="C123" s="1"/>
      <c r="D123" s="63" t="s">
        <v>34</v>
      </c>
      <c r="E123" s="40">
        <v>0</v>
      </c>
      <c r="F123" s="16">
        <v>2000</v>
      </c>
      <c r="G123" s="16">
        <f t="shared" si="108"/>
        <v>0</v>
      </c>
      <c r="H123" s="40">
        <v>1</v>
      </c>
      <c r="I123" s="16">
        <f t="shared" si="109"/>
        <v>2000</v>
      </c>
      <c r="J123" s="16">
        <f t="shared" si="110"/>
        <v>2000</v>
      </c>
      <c r="K123" s="40">
        <v>1</v>
      </c>
      <c r="L123" s="16">
        <f t="shared" si="111"/>
        <v>2060</v>
      </c>
      <c r="M123" s="16">
        <f t="shared" si="112"/>
        <v>2060</v>
      </c>
      <c r="N123" s="40">
        <v>1</v>
      </c>
      <c r="O123" s="16">
        <f t="shared" si="113"/>
        <v>2121.8000000000002</v>
      </c>
      <c r="P123" s="25">
        <f t="shared" si="114"/>
        <v>2122</v>
      </c>
      <c r="Q123" s="39">
        <f t="shared" si="115"/>
        <v>3</v>
      </c>
      <c r="R123" s="17">
        <f t="shared" si="116"/>
        <v>6182</v>
      </c>
      <c r="S123" s="136"/>
    </row>
    <row r="124" spans="1:19" x14ac:dyDescent="0.3">
      <c r="A124" s="28"/>
      <c r="B124" s="15"/>
      <c r="C124" s="1"/>
      <c r="D124" s="63"/>
      <c r="E124" s="40"/>
      <c r="F124" s="16"/>
      <c r="G124" s="16"/>
      <c r="H124" s="40"/>
      <c r="I124" s="16"/>
      <c r="J124" s="16"/>
      <c r="K124" s="40"/>
      <c r="L124" s="16"/>
      <c r="M124" s="16"/>
      <c r="N124" s="40"/>
      <c r="O124" s="16"/>
      <c r="P124" s="25"/>
      <c r="Q124" s="39"/>
      <c r="R124" s="17"/>
      <c r="S124" s="136"/>
    </row>
    <row r="125" spans="1:19" x14ac:dyDescent="0.3">
      <c r="A125" s="96" t="s">
        <v>95</v>
      </c>
      <c r="B125" s="3"/>
      <c r="C125" s="3"/>
      <c r="D125" s="65"/>
      <c r="E125" s="50"/>
      <c r="F125" s="17"/>
      <c r="G125" s="35">
        <f>SUM(G118:G124)</f>
        <v>0</v>
      </c>
      <c r="H125" s="41"/>
      <c r="I125" s="17"/>
      <c r="J125" s="17">
        <f>SUM(J118:J124)</f>
        <v>33030</v>
      </c>
      <c r="K125" s="50"/>
      <c r="L125" s="17"/>
      <c r="M125" s="35">
        <f>SUM(M118:M124)</f>
        <v>14554</v>
      </c>
      <c r="N125" s="50"/>
      <c r="O125" s="17"/>
      <c r="P125" s="35">
        <f>SUM(P118:P124)</f>
        <v>14990</v>
      </c>
      <c r="Q125" s="39"/>
      <c r="R125" s="17">
        <f>G125+J125+M125+P125</f>
        <v>62574</v>
      </c>
      <c r="S125" s="136">
        <f>SUM(R118:R123)</f>
        <v>62574</v>
      </c>
    </row>
    <row r="126" spans="1:19" x14ac:dyDescent="0.3">
      <c r="A126" s="30"/>
      <c r="B126" s="15"/>
      <c r="C126" s="3"/>
      <c r="D126" s="65"/>
      <c r="E126" s="40"/>
      <c r="F126" s="16"/>
      <c r="G126" s="16"/>
      <c r="H126" s="40"/>
      <c r="I126" s="16"/>
      <c r="J126" s="16"/>
      <c r="K126" s="40"/>
      <c r="L126" s="16"/>
      <c r="M126" s="16"/>
      <c r="N126" s="40"/>
      <c r="O126" s="16"/>
      <c r="P126" s="25"/>
      <c r="Q126" s="39"/>
      <c r="R126" s="17"/>
      <c r="S126" s="136"/>
    </row>
    <row r="127" spans="1:19" x14ac:dyDescent="0.3">
      <c r="A127" s="97" t="s">
        <v>83</v>
      </c>
      <c r="B127" s="15"/>
      <c r="C127" s="1"/>
      <c r="D127" s="63"/>
      <c r="E127" s="40"/>
      <c r="F127" s="16"/>
      <c r="G127" s="16"/>
      <c r="H127" s="40"/>
      <c r="I127" s="16"/>
      <c r="J127" s="16"/>
      <c r="K127" s="40"/>
      <c r="L127" s="16"/>
      <c r="M127" s="16"/>
      <c r="N127" s="40"/>
      <c r="O127" s="16"/>
      <c r="P127" s="25"/>
      <c r="Q127" s="39"/>
      <c r="R127" s="17"/>
      <c r="S127" s="136"/>
    </row>
    <row r="128" spans="1:19" x14ac:dyDescent="0.3">
      <c r="A128" s="90" t="s">
        <v>189</v>
      </c>
      <c r="B128" s="15"/>
      <c r="C128" s="163" t="s">
        <v>202</v>
      </c>
      <c r="D128" s="63"/>
      <c r="E128" s="40"/>
      <c r="F128" s="16"/>
      <c r="G128" s="25"/>
      <c r="H128" s="36"/>
      <c r="I128" s="16"/>
      <c r="J128" s="16"/>
      <c r="K128" s="40"/>
      <c r="L128" s="16"/>
      <c r="M128" s="25"/>
      <c r="N128" s="40"/>
      <c r="O128" s="16"/>
      <c r="P128" s="25"/>
      <c r="Q128" s="26"/>
      <c r="R128" s="17"/>
      <c r="S128" s="136"/>
    </row>
    <row r="129" spans="1:19" x14ac:dyDescent="0.3">
      <c r="A129" s="28" t="s">
        <v>38</v>
      </c>
      <c r="B129" s="15"/>
      <c r="C129" s="1" t="s">
        <v>137</v>
      </c>
      <c r="D129" s="63" t="s">
        <v>34</v>
      </c>
      <c r="E129" s="40">
        <v>0</v>
      </c>
      <c r="F129" s="16">
        <v>1000</v>
      </c>
      <c r="G129" s="25">
        <f t="shared" ref="G129:G133" si="117">ROUND((+E129*F129),0)</f>
        <v>0</v>
      </c>
      <c r="H129" s="164">
        <v>0</v>
      </c>
      <c r="I129" s="165">
        <v>1000</v>
      </c>
      <c r="J129" s="165">
        <f t="shared" ref="J129:J133" si="118">ROUND((+H129*I129),0)</f>
        <v>0</v>
      </c>
      <c r="K129" s="164">
        <v>0</v>
      </c>
      <c r="L129" s="165">
        <f t="shared" ref="L129:L133" si="119">I129*(1+$B$10)</f>
        <v>1030</v>
      </c>
      <c r="M129" s="166">
        <f t="shared" ref="M129:M133" si="120">ROUND((+K129*L129),0)</f>
        <v>0</v>
      </c>
      <c r="N129" s="164">
        <v>0</v>
      </c>
      <c r="O129" s="165">
        <f t="shared" ref="O129:O133" si="121">L129*(1+$B$10)</f>
        <v>1060.9000000000001</v>
      </c>
      <c r="P129" s="166">
        <f t="shared" ref="P129:P133" si="122">ROUND((+N129*O129),0)</f>
        <v>0</v>
      </c>
      <c r="Q129" s="39">
        <f t="shared" ref="Q129:Q133" si="123">E129+H129+K129+N129</f>
        <v>0</v>
      </c>
      <c r="R129" s="17">
        <f t="shared" ref="R129:R133" si="124">G129+J129+M129+P129</f>
        <v>0</v>
      </c>
      <c r="S129" s="136"/>
    </row>
    <row r="130" spans="1:19" x14ac:dyDescent="0.3">
      <c r="A130" s="28" t="s">
        <v>90</v>
      </c>
      <c r="B130" s="15"/>
      <c r="C130" s="1" t="s">
        <v>101</v>
      </c>
      <c r="D130" s="63" t="s">
        <v>174</v>
      </c>
      <c r="E130" s="40">
        <v>1</v>
      </c>
      <c r="F130" s="16">
        <v>600</v>
      </c>
      <c r="G130" s="25">
        <f t="shared" ref="G130:G132" si="125">ROUND((+E130*F130),0)</f>
        <v>600</v>
      </c>
      <c r="H130" s="164">
        <v>0</v>
      </c>
      <c r="I130" s="165">
        <v>600</v>
      </c>
      <c r="J130" s="165">
        <f t="shared" ref="J130:J132" si="126">ROUND((+H130*I130),0)</f>
        <v>0</v>
      </c>
      <c r="K130" s="164">
        <v>0</v>
      </c>
      <c r="L130" s="165">
        <f t="shared" ref="L130:L132" si="127">I130*(1+$B$10)</f>
        <v>618</v>
      </c>
      <c r="M130" s="166">
        <f t="shared" ref="M130:M132" si="128">ROUND((+K130*L130),0)</f>
        <v>0</v>
      </c>
      <c r="N130" s="164">
        <v>0</v>
      </c>
      <c r="O130" s="165">
        <f t="shared" ref="O130:O132" si="129">L130*(1+$B$10)</f>
        <v>636.54</v>
      </c>
      <c r="P130" s="166">
        <f t="shared" ref="P130:P132" si="130">ROUND((+N130*O130),0)</f>
        <v>0</v>
      </c>
      <c r="Q130" s="39">
        <f t="shared" ref="Q130:Q132" si="131">E130+H130+K130+N130</f>
        <v>1</v>
      </c>
      <c r="R130" s="17">
        <f t="shared" si="124"/>
        <v>600</v>
      </c>
      <c r="S130" s="136"/>
    </row>
    <row r="131" spans="1:19" x14ac:dyDescent="0.3">
      <c r="A131" s="28" t="s">
        <v>97</v>
      </c>
      <c r="B131" s="15"/>
      <c r="C131" s="1" t="s">
        <v>114</v>
      </c>
      <c r="D131" s="63" t="s">
        <v>174</v>
      </c>
      <c r="E131" s="40">
        <v>0</v>
      </c>
      <c r="F131" s="16">
        <v>2000</v>
      </c>
      <c r="G131" s="25">
        <f t="shared" si="125"/>
        <v>0</v>
      </c>
      <c r="H131" s="164">
        <v>0</v>
      </c>
      <c r="I131" s="165">
        <v>2000</v>
      </c>
      <c r="J131" s="165">
        <f t="shared" si="126"/>
        <v>0</v>
      </c>
      <c r="K131" s="164">
        <v>0</v>
      </c>
      <c r="L131" s="165">
        <f t="shared" si="127"/>
        <v>2060</v>
      </c>
      <c r="M131" s="166">
        <f t="shared" si="128"/>
        <v>0</v>
      </c>
      <c r="N131" s="164">
        <v>0</v>
      </c>
      <c r="O131" s="165">
        <f t="shared" si="129"/>
        <v>2121.8000000000002</v>
      </c>
      <c r="P131" s="166">
        <f t="shared" si="130"/>
        <v>0</v>
      </c>
      <c r="Q131" s="39">
        <f t="shared" si="131"/>
        <v>0</v>
      </c>
      <c r="R131" s="17">
        <f t="shared" si="124"/>
        <v>0</v>
      </c>
      <c r="S131" s="136"/>
    </row>
    <row r="132" spans="1:19" x14ac:dyDescent="0.3">
      <c r="A132" s="28" t="s">
        <v>96</v>
      </c>
      <c r="B132" s="15"/>
      <c r="C132" s="1" t="s">
        <v>113</v>
      </c>
      <c r="D132" s="63" t="s">
        <v>174</v>
      </c>
      <c r="E132" s="40">
        <v>1</v>
      </c>
      <c r="F132" s="16">
        <v>1400</v>
      </c>
      <c r="G132" s="25">
        <f t="shared" si="125"/>
        <v>1400</v>
      </c>
      <c r="H132" s="164">
        <v>0</v>
      </c>
      <c r="I132" s="165">
        <v>1400</v>
      </c>
      <c r="J132" s="165">
        <f t="shared" si="126"/>
        <v>0</v>
      </c>
      <c r="K132" s="164">
        <v>0</v>
      </c>
      <c r="L132" s="165">
        <f t="shared" si="127"/>
        <v>1442</v>
      </c>
      <c r="M132" s="166">
        <f t="shared" si="128"/>
        <v>0</v>
      </c>
      <c r="N132" s="164">
        <v>0</v>
      </c>
      <c r="O132" s="165">
        <f t="shared" si="129"/>
        <v>1485.26</v>
      </c>
      <c r="P132" s="166">
        <f t="shared" si="130"/>
        <v>0</v>
      </c>
      <c r="Q132" s="39">
        <f t="shared" si="131"/>
        <v>1</v>
      </c>
      <c r="R132" s="17">
        <f t="shared" si="124"/>
        <v>1400</v>
      </c>
      <c r="S132" s="136"/>
    </row>
    <row r="133" spans="1:19" x14ac:dyDescent="0.3">
      <c r="A133" s="28" t="s">
        <v>91</v>
      </c>
      <c r="B133" s="15"/>
      <c r="C133" s="1" t="s">
        <v>114</v>
      </c>
      <c r="D133" s="63" t="s">
        <v>174</v>
      </c>
      <c r="E133" s="40">
        <v>1</v>
      </c>
      <c r="F133" s="16">
        <v>2000</v>
      </c>
      <c r="G133" s="25">
        <f t="shared" si="117"/>
        <v>2000</v>
      </c>
      <c r="H133" s="164">
        <v>0</v>
      </c>
      <c r="I133" s="165">
        <v>2000</v>
      </c>
      <c r="J133" s="165">
        <f t="shared" si="118"/>
        <v>0</v>
      </c>
      <c r="K133" s="164">
        <v>0</v>
      </c>
      <c r="L133" s="165">
        <f t="shared" si="119"/>
        <v>2060</v>
      </c>
      <c r="M133" s="166">
        <f t="shared" si="120"/>
        <v>0</v>
      </c>
      <c r="N133" s="164">
        <v>0</v>
      </c>
      <c r="O133" s="165">
        <f t="shared" si="121"/>
        <v>2121.8000000000002</v>
      </c>
      <c r="P133" s="166">
        <f t="shared" si="122"/>
        <v>0</v>
      </c>
      <c r="Q133" s="39">
        <f t="shared" si="123"/>
        <v>1</v>
      </c>
      <c r="R133" s="17">
        <f t="shared" si="124"/>
        <v>2000</v>
      </c>
      <c r="S133" s="136"/>
    </row>
    <row r="134" spans="1:19" x14ac:dyDescent="0.3">
      <c r="A134" s="90" t="s">
        <v>195</v>
      </c>
      <c r="B134" s="15"/>
      <c r="C134" s="163" t="s">
        <v>196</v>
      </c>
      <c r="D134" s="63"/>
      <c r="E134" s="40"/>
      <c r="F134" s="16"/>
      <c r="G134" s="25"/>
      <c r="H134" s="36"/>
      <c r="I134" s="165"/>
      <c r="J134" s="16"/>
      <c r="K134" s="40"/>
      <c r="L134" s="16"/>
      <c r="M134" s="25"/>
      <c r="N134" s="40"/>
      <c r="O134" s="16"/>
      <c r="P134" s="25"/>
      <c r="Q134" s="26"/>
      <c r="R134" s="17"/>
      <c r="S134" s="136"/>
    </row>
    <row r="135" spans="1:19" x14ac:dyDescent="0.3">
      <c r="A135" s="28" t="s">
        <v>112</v>
      </c>
      <c r="B135" s="15"/>
      <c r="C135" s="1" t="s">
        <v>136</v>
      </c>
      <c r="D135" s="63" t="s">
        <v>174</v>
      </c>
      <c r="E135" s="40">
        <v>0</v>
      </c>
      <c r="F135" s="16">
        <v>150</v>
      </c>
      <c r="G135" s="25">
        <f t="shared" ref="G135:G140" si="132">ROUND((+E135*F135),0)</f>
        <v>0</v>
      </c>
      <c r="H135" s="164">
        <v>0</v>
      </c>
      <c r="I135" s="165">
        <v>225</v>
      </c>
      <c r="J135" s="165">
        <f t="shared" ref="J135:J140" si="133">ROUND((+H135*I135),0)</f>
        <v>0</v>
      </c>
      <c r="K135" s="164">
        <v>0</v>
      </c>
      <c r="L135" s="165">
        <f t="shared" ref="L135:L140" si="134">I135*(1+$B$10)</f>
        <v>231.75</v>
      </c>
      <c r="M135" s="166">
        <f t="shared" ref="M135:M140" si="135">ROUND((+K135*L135),0)</f>
        <v>0</v>
      </c>
      <c r="N135" s="164">
        <v>0</v>
      </c>
      <c r="O135" s="165">
        <f t="shared" ref="O135:O140" si="136">L135*(1+$B$10)</f>
        <v>238.70250000000001</v>
      </c>
      <c r="P135" s="166">
        <f t="shared" ref="P135:P140" si="137">ROUND((+N135*O135),0)</f>
        <v>0</v>
      </c>
      <c r="Q135" s="39">
        <f t="shared" ref="Q135:Q140" si="138">E135+H135+K135+N135</f>
        <v>0</v>
      </c>
      <c r="R135" s="17">
        <f t="shared" ref="R135:R140" si="139">G135+J135+M135+P135</f>
        <v>0</v>
      </c>
      <c r="S135" s="136"/>
    </row>
    <row r="136" spans="1:19" x14ac:dyDescent="0.3">
      <c r="A136" s="28" t="s">
        <v>38</v>
      </c>
      <c r="B136" s="15"/>
      <c r="C136" s="1" t="s">
        <v>137</v>
      </c>
      <c r="D136" s="63" t="s">
        <v>34</v>
      </c>
      <c r="E136" s="40">
        <v>0</v>
      </c>
      <c r="F136" s="16">
        <v>1000</v>
      </c>
      <c r="G136" s="25">
        <f t="shared" si="132"/>
        <v>0</v>
      </c>
      <c r="H136" s="164">
        <v>0</v>
      </c>
      <c r="I136" s="165">
        <v>1000</v>
      </c>
      <c r="J136" s="165">
        <f t="shared" si="133"/>
        <v>0</v>
      </c>
      <c r="K136" s="164">
        <v>0</v>
      </c>
      <c r="L136" s="165">
        <f t="shared" si="134"/>
        <v>1030</v>
      </c>
      <c r="M136" s="166">
        <f t="shared" si="135"/>
        <v>0</v>
      </c>
      <c r="N136" s="164">
        <v>0</v>
      </c>
      <c r="O136" s="165">
        <f t="shared" si="136"/>
        <v>1060.9000000000001</v>
      </c>
      <c r="P136" s="166">
        <f t="shared" si="137"/>
        <v>0</v>
      </c>
      <c r="Q136" s="39">
        <f t="shared" si="138"/>
        <v>0</v>
      </c>
      <c r="R136" s="17">
        <f t="shared" si="139"/>
        <v>0</v>
      </c>
      <c r="S136" s="136"/>
    </row>
    <row r="137" spans="1:19" x14ac:dyDescent="0.3">
      <c r="A137" s="28" t="s">
        <v>90</v>
      </c>
      <c r="B137" s="15"/>
      <c r="C137" s="1" t="s">
        <v>101</v>
      </c>
      <c r="D137" s="63" t="s">
        <v>174</v>
      </c>
      <c r="E137" s="40">
        <v>0</v>
      </c>
      <c r="F137" s="16">
        <v>900</v>
      </c>
      <c r="G137" s="25">
        <f t="shared" si="132"/>
        <v>0</v>
      </c>
      <c r="H137" s="164">
        <v>0</v>
      </c>
      <c r="I137" s="165">
        <v>600</v>
      </c>
      <c r="J137" s="165">
        <f t="shared" si="133"/>
        <v>0</v>
      </c>
      <c r="K137" s="164">
        <v>0</v>
      </c>
      <c r="L137" s="165">
        <f t="shared" si="134"/>
        <v>618</v>
      </c>
      <c r="M137" s="166">
        <f t="shared" si="135"/>
        <v>0</v>
      </c>
      <c r="N137" s="164">
        <v>0</v>
      </c>
      <c r="O137" s="165">
        <f t="shared" si="136"/>
        <v>636.54</v>
      </c>
      <c r="P137" s="166">
        <f t="shared" si="137"/>
        <v>0</v>
      </c>
      <c r="Q137" s="39">
        <f t="shared" si="138"/>
        <v>0</v>
      </c>
      <c r="R137" s="17">
        <f t="shared" si="139"/>
        <v>0</v>
      </c>
      <c r="S137" s="136"/>
    </row>
    <row r="138" spans="1:19" x14ac:dyDescent="0.3">
      <c r="A138" s="28" t="s">
        <v>193</v>
      </c>
      <c r="B138" s="15"/>
      <c r="C138" s="1" t="s">
        <v>114</v>
      </c>
      <c r="D138" s="63" t="s">
        <v>174</v>
      </c>
      <c r="E138" s="40">
        <v>0</v>
      </c>
      <c r="F138" s="16">
        <v>3000</v>
      </c>
      <c r="G138" s="25">
        <f t="shared" si="132"/>
        <v>0</v>
      </c>
      <c r="H138" s="164">
        <v>0</v>
      </c>
      <c r="I138" s="165">
        <v>2000</v>
      </c>
      <c r="J138" s="165">
        <f t="shared" si="133"/>
        <v>0</v>
      </c>
      <c r="K138" s="164">
        <v>0</v>
      </c>
      <c r="L138" s="165">
        <f t="shared" si="134"/>
        <v>2060</v>
      </c>
      <c r="M138" s="166">
        <f t="shared" si="135"/>
        <v>0</v>
      </c>
      <c r="N138" s="164">
        <v>0</v>
      </c>
      <c r="O138" s="165">
        <f t="shared" si="136"/>
        <v>2121.8000000000002</v>
      </c>
      <c r="P138" s="166">
        <f t="shared" si="137"/>
        <v>0</v>
      </c>
      <c r="Q138" s="39">
        <f t="shared" si="138"/>
        <v>0</v>
      </c>
      <c r="R138" s="17">
        <f t="shared" si="139"/>
        <v>0</v>
      </c>
      <c r="S138" s="136"/>
    </row>
    <row r="139" spans="1:19" x14ac:dyDescent="0.3">
      <c r="A139" s="28" t="s">
        <v>194</v>
      </c>
      <c r="B139" s="15"/>
      <c r="C139" s="1" t="s">
        <v>113</v>
      </c>
      <c r="D139" s="63" t="s">
        <v>174</v>
      </c>
      <c r="E139" s="40">
        <v>0</v>
      </c>
      <c r="F139" s="16">
        <v>2100</v>
      </c>
      <c r="G139" s="25">
        <f t="shared" si="132"/>
        <v>0</v>
      </c>
      <c r="H139" s="164">
        <v>0</v>
      </c>
      <c r="I139" s="165">
        <v>1400</v>
      </c>
      <c r="J139" s="165">
        <f t="shared" si="133"/>
        <v>0</v>
      </c>
      <c r="K139" s="164">
        <v>0</v>
      </c>
      <c r="L139" s="165">
        <f t="shared" si="134"/>
        <v>1442</v>
      </c>
      <c r="M139" s="166">
        <f t="shared" si="135"/>
        <v>0</v>
      </c>
      <c r="N139" s="164">
        <v>0</v>
      </c>
      <c r="O139" s="165">
        <f t="shared" si="136"/>
        <v>1485.26</v>
      </c>
      <c r="P139" s="166">
        <f t="shared" si="137"/>
        <v>0</v>
      </c>
      <c r="Q139" s="39">
        <f t="shared" si="138"/>
        <v>0</v>
      </c>
      <c r="R139" s="17">
        <f t="shared" si="139"/>
        <v>0</v>
      </c>
      <c r="S139" s="136"/>
    </row>
    <row r="140" spans="1:19" x14ac:dyDescent="0.3">
      <c r="A140" s="28" t="s">
        <v>91</v>
      </c>
      <c r="B140" s="15"/>
      <c r="C140" s="1" t="s">
        <v>114</v>
      </c>
      <c r="D140" s="63" t="s">
        <v>174</v>
      </c>
      <c r="E140" s="40">
        <v>0</v>
      </c>
      <c r="F140" s="16">
        <v>3000</v>
      </c>
      <c r="G140" s="25">
        <f t="shared" si="132"/>
        <v>0</v>
      </c>
      <c r="H140" s="164">
        <v>0</v>
      </c>
      <c r="I140" s="165">
        <v>2000</v>
      </c>
      <c r="J140" s="165">
        <f t="shared" si="133"/>
        <v>0</v>
      </c>
      <c r="K140" s="164">
        <v>0</v>
      </c>
      <c r="L140" s="165">
        <f t="shared" si="134"/>
        <v>2060</v>
      </c>
      <c r="M140" s="166">
        <f t="shared" si="135"/>
        <v>0</v>
      </c>
      <c r="N140" s="164">
        <v>0</v>
      </c>
      <c r="O140" s="165">
        <f t="shared" si="136"/>
        <v>2121.8000000000002</v>
      </c>
      <c r="P140" s="166">
        <f t="shared" si="137"/>
        <v>0</v>
      </c>
      <c r="Q140" s="39">
        <f t="shared" si="138"/>
        <v>0</v>
      </c>
      <c r="R140" s="17">
        <f t="shared" si="139"/>
        <v>0</v>
      </c>
      <c r="S140" s="136"/>
    </row>
    <row r="141" spans="1:19" x14ac:dyDescent="0.3">
      <c r="A141" s="90" t="s">
        <v>190</v>
      </c>
      <c r="B141" s="15"/>
      <c r="C141" s="163" t="s">
        <v>191</v>
      </c>
      <c r="D141" s="63"/>
      <c r="E141" s="40"/>
      <c r="F141" s="16"/>
      <c r="G141" s="25"/>
      <c r="H141" s="36"/>
      <c r="I141" s="16"/>
      <c r="J141" s="16"/>
      <c r="K141" s="40"/>
      <c r="L141" s="16"/>
      <c r="M141" s="25"/>
      <c r="N141" s="40"/>
      <c r="O141" s="16"/>
      <c r="P141" s="25"/>
      <c r="Q141" s="26"/>
      <c r="R141" s="17"/>
      <c r="S141" s="136"/>
    </row>
    <row r="142" spans="1:19" x14ac:dyDescent="0.3">
      <c r="A142" s="28" t="s">
        <v>112</v>
      </c>
      <c r="B142" s="15"/>
      <c r="C142" s="1" t="s">
        <v>136</v>
      </c>
      <c r="D142" s="63" t="s">
        <v>174</v>
      </c>
      <c r="E142" s="164">
        <v>0</v>
      </c>
      <c r="F142" s="165">
        <v>225</v>
      </c>
      <c r="G142" s="166">
        <f t="shared" ref="G142:G147" si="140">ROUND((+E142*F142),0)</f>
        <v>0</v>
      </c>
      <c r="H142" s="40">
        <f>$B$12</f>
        <v>3</v>
      </c>
      <c r="I142" s="16">
        <v>150</v>
      </c>
      <c r="J142" s="16">
        <f t="shared" ref="J142:J147" si="141">ROUND((+H142*I142),0)</f>
        <v>450</v>
      </c>
      <c r="K142" s="40">
        <f>$B$12</f>
        <v>3</v>
      </c>
      <c r="L142" s="16">
        <f t="shared" ref="L142:L147" si="142">I142*(1+$B$10)</f>
        <v>154.5</v>
      </c>
      <c r="M142" s="25">
        <f t="shared" ref="M142:M147" si="143">ROUND((+K142*L142),0)</f>
        <v>464</v>
      </c>
      <c r="N142" s="40">
        <f>$B$12</f>
        <v>3</v>
      </c>
      <c r="O142" s="16">
        <f t="shared" ref="O142:O147" si="144">L142*(1+$B$10)</f>
        <v>159.13499999999999</v>
      </c>
      <c r="P142" s="25">
        <f t="shared" ref="P142:P147" si="145">ROUND((+N142*O142),0)</f>
        <v>477</v>
      </c>
      <c r="Q142" s="39">
        <f t="shared" ref="Q142:Q147" si="146">E142+H142+K142+N142</f>
        <v>9</v>
      </c>
      <c r="R142" s="17">
        <f t="shared" ref="R142:R147" si="147">G142+J142+M142+P142</f>
        <v>1391</v>
      </c>
      <c r="S142" s="136"/>
    </row>
    <row r="143" spans="1:19" x14ac:dyDescent="0.3">
      <c r="A143" s="28" t="s">
        <v>38</v>
      </c>
      <c r="B143" s="15"/>
      <c r="C143" s="1" t="s">
        <v>137</v>
      </c>
      <c r="D143" s="63" t="s">
        <v>34</v>
      </c>
      <c r="E143" s="164">
        <v>0</v>
      </c>
      <c r="F143" s="165">
        <v>1000</v>
      </c>
      <c r="G143" s="166">
        <f t="shared" si="140"/>
        <v>0</v>
      </c>
      <c r="H143" s="40">
        <v>0</v>
      </c>
      <c r="I143" s="16">
        <v>1000</v>
      </c>
      <c r="J143" s="16">
        <f t="shared" si="141"/>
        <v>0</v>
      </c>
      <c r="K143" s="40">
        <v>0</v>
      </c>
      <c r="L143" s="16">
        <f t="shared" si="142"/>
        <v>1030</v>
      </c>
      <c r="M143" s="25">
        <f t="shared" si="143"/>
        <v>0</v>
      </c>
      <c r="N143" s="40">
        <v>0</v>
      </c>
      <c r="O143" s="16">
        <f t="shared" si="144"/>
        <v>1060.9000000000001</v>
      </c>
      <c r="P143" s="25">
        <f t="shared" si="145"/>
        <v>0</v>
      </c>
      <c r="Q143" s="39">
        <f t="shared" si="146"/>
        <v>0</v>
      </c>
      <c r="R143" s="17">
        <f t="shared" si="147"/>
        <v>0</v>
      </c>
      <c r="S143" s="136"/>
    </row>
    <row r="144" spans="1:19" x14ac:dyDescent="0.3">
      <c r="A144" s="28" t="s">
        <v>90</v>
      </c>
      <c r="B144" s="15"/>
      <c r="C144" s="1" t="s">
        <v>101</v>
      </c>
      <c r="D144" s="63" t="s">
        <v>174</v>
      </c>
      <c r="E144" s="164">
        <v>0</v>
      </c>
      <c r="F144" s="165">
        <v>1575</v>
      </c>
      <c r="G144" s="166">
        <f t="shared" si="140"/>
        <v>0</v>
      </c>
      <c r="H144" s="40">
        <v>1</v>
      </c>
      <c r="I144" s="16">
        <v>1575</v>
      </c>
      <c r="J144" s="16">
        <f t="shared" si="141"/>
        <v>1575</v>
      </c>
      <c r="K144" s="40">
        <v>1</v>
      </c>
      <c r="L144" s="16">
        <f t="shared" si="142"/>
        <v>1622.25</v>
      </c>
      <c r="M144" s="25">
        <f t="shared" si="143"/>
        <v>1622</v>
      </c>
      <c r="N144" s="40">
        <v>1</v>
      </c>
      <c r="O144" s="16">
        <f t="shared" si="144"/>
        <v>1670.9175</v>
      </c>
      <c r="P144" s="25">
        <f t="shared" si="145"/>
        <v>1671</v>
      </c>
      <c r="Q144" s="39">
        <f t="shared" si="146"/>
        <v>3</v>
      </c>
      <c r="R144" s="17">
        <f t="shared" si="147"/>
        <v>4868</v>
      </c>
      <c r="S144" s="136"/>
    </row>
    <row r="145" spans="1:59" x14ac:dyDescent="0.3">
      <c r="A145" s="28" t="s">
        <v>193</v>
      </c>
      <c r="B145" s="15"/>
      <c r="C145" s="1" t="s">
        <v>114</v>
      </c>
      <c r="D145" s="63" t="s">
        <v>174</v>
      </c>
      <c r="E145" s="164">
        <v>0</v>
      </c>
      <c r="F145" s="165">
        <v>4500</v>
      </c>
      <c r="G145" s="166">
        <f t="shared" si="140"/>
        <v>0</v>
      </c>
      <c r="H145" s="40">
        <v>0</v>
      </c>
      <c r="I145" s="16">
        <v>4500</v>
      </c>
      <c r="J145" s="16">
        <f t="shared" si="141"/>
        <v>0</v>
      </c>
      <c r="K145" s="40">
        <v>0</v>
      </c>
      <c r="L145" s="16">
        <f t="shared" si="142"/>
        <v>4635</v>
      </c>
      <c r="M145" s="25">
        <f t="shared" si="143"/>
        <v>0</v>
      </c>
      <c r="N145" s="40">
        <v>0</v>
      </c>
      <c r="O145" s="16">
        <f t="shared" si="144"/>
        <v>4774.05</v>
      </c>
      <c r="P145" s="25">
        <f t="shared" si="145"/>
        <v>0</v>
      </c>
      <c r="Q145" s="39">
        <f t="shared" si="146"/>
        <v>0</v>
      </c>
      <c r="R145" s="17">
        <f t="shared" si="147"/>
        <v>0</v>
      </c>
      <c r="S145" s="136"/>
    </row>
    <row r="146" spans="1:59" x14ac:dyDescent="0.3">
      <c r="A146" s="28" t="s">
        <v>194</v>
      </c>
      <c r="B146" s="15"/>
      <c r="C146" s="1" t="s">
        <v>113</v>
      </c>
      <c r="D146" s="63" t="s">
        <v>174</v>
      </c>
      <c r="E146" s="164">
        <v>0</v>
      </c>
      <c r="F146" s="165">
        <v>3150</v>
      </c>
      <c r="G146" s="166">
        <f t="shared" si="140"/>
        <v>0</v>
      </c>
      <c r="H146" s="40">
        <v>1</v>
      </c>
      <c r="I146" s="16">
        <v>3150</v>
      </c>
      <c r="J146" s="16">
        <f t="shared" si="141"/>
        <v>3150</v>
      </c>
      <c r="K146" s="40">
        <v>1</v>
      </c>
      <c r="L146" s="16">
        <f t="shared" si="142"/>
        <v>3244.5</v>
      </c>
      <c r="M146" s="25">
        <f t="shared" si="143"/>
        <v>3245</v>
      </c>
      <c r="N146" s="40">
        <v>1</v>
      </c>
      <c r="O146" s="16">
        <f t="shared" si="144"/>
        <v>3341.835</v>
      </c>
      <c r="P146" s="25">
        <f t="shared" si="145"/>
        <v>3342</v>
      </c>
      <c r="Q146" s="39">
        <f t="shared" si="146"/>
        <v>3</v>
      </c>
      <c r="R146" s="17">
        <f t="shared" si="147"/>
        <v>9737</v>
      </c>
      <c r="S146" s="136"/>
    </row>
    <row r="147" spans="1:59" x14ac:dyDescent="0.3">
      <c r="A147" s="28" t="s">
        <v>91</v>
      </c>
      <c r="B147" s="15"/>
      <c r="C147" s="1" t="s">
        <v>114</v>
      </c>
      <c r="D147" s="63" t="s">
        <v>174</v>
      </c>
      <c r="E147" s="164">
        <v>0</v>
      </c>
      <c r="F147" s="165">
        <v>4500</v>
      </c>
      <c r="G147" s="166">
        <f t="shared" si="140"/>
        <v>0</v>
      </c>
      <c r="H147" s="40">
        <v>1</v>
      </c>
      <c r="I147" s="16">
        <v>4500</v>
      </c>
      <c r="J147" s="16">
        <f t="shared" si="141"/>
        <v>4500</v>
      </c>
      <c r="K147" s="40">
        <v>1</v>
      </c>
      <c r="L147" s="16">
        <f t="shared" si="142"/>
        <v>4635</v>
      </c>
      <c r="M147" s="25">
        <f t="shared" si="143"/>
        <v>4635</v>
      </c>
      <c r="N147" s="40">
        <v>1</v>
      </c>
      <c r="O147" s="16">
        <f t="shared" si="144"/>
        <v>4774.05</v>
      </c>
      <c r="P147" s="25">
        <f t="shared" si="145"/>
        <v>4774</v>
      </c>
      <c r="Q147" s="39">
        <f t="shared" si="146"/>
        <v>3</v>
      </c>
      <c r="R147" s="17">
        <f t="shared" si="147"/>
        <v>13909</v>
      </c>
      <c r="S147" s="136"/>
    </row>
    <row r="148" spans="1:59" x14ac:dyDescent="0.3">
      <c r="A148" s="90" t="s">
        <v>188</v>
      </c>
      <c r="B148" s="15"/>
      <c r="C148" s="1" t="s">
        <v>204</v>
      </c>
      <c r="D148" s="63"/>
      <c r="E148" s="40"/>
      <c r="F148" s="16"/>
      <c r="G148" s="25"/>
      <c r="H148" s="36"/>
      <c r="I148" s="16"/>
      <c r="J148" s="16"/>
      <c r="K148" s="40"/>
      <c r="L148" s="16"/>
      <c r="M148" s="25"/>
      <c r="N148" s="40"/>
      <c r="O148" s="16"/>
      <c r="P148" s="25"/>
      <c r="Q148" s="39"/>
      <c r="R148" s="17"/>
      <c r="S148" s="136"/>
    </row>
    <row r="149" spans="1:59" x14ac:dyDescent="0.3">
      <c r="A149" s="28" t="s">
        <v>30</v>
      </c>
      <c r="B149" s="15"/>
      <c r="C149" s="1" t="s">
        <v>137</v>
      </c>
      <c r="D149" s="63" t="s">
        <v>34</v>
      </c>
      <c r="E149" s="116">
        <v>1</v>
      </c>
      <c r="F149" s="129">
        <v>1000</v>
      </c>
      <c r="G149" s="128">
        <f t="shared" ref="G149:G153" si="148">ROUND((+E149*F149),0)</f>
        <v>1000</v>
      </c>
      <c r="H149" s="116" t="str">
        <f>IF(B14="Yes", "1", "0")</f>
        <v>1</v>
      </c>
      <c r="I149" s="129">
        <v>1000</v>
      </c>
      <c r="J149" s="129">
        <f t="shared" ref="J149:J153" si="149">ROUND((+H149*I149),0)</f>
        <v>1000</v>
      </c>
      <c r="K149" s="116" t="str">
        <f>IF(B14="Yes", "1", "0")</f>
        <v>1</v>
      </c>
      <c r="L149" s="129">
        <f t="shared" ref="L149:L153" si="150">I149*(1+$B$10)</f>
        <v>1030</v>
      </c>
      <c r="M149" s="128">
        <f t="shared" ref="M149:M153" si="151">ROUND((+K149*L149),0)</f>
        <v>1030</v>
      </c>
      <c r="N149" s="116" t="str">
        <f>IF(B14="Yes", "1", "0")</f>
        <v>1</v>
      </c>
      <c r="O149" s="129">
        <f t="shared" ref="O149:O153" si="152">L149*(1+$B$10)</f>
        <v>1060.9000000000001</v>
      </c>
      <c r="P149" s="128">
        <f t="shared" ref="P149:P153" si="153">ROUND((+N149*O149),0)</f>
        <v>1061</v>
      </c>
      <c r="Q149" s="39">
        <f t="shared" ref="Q149:Q153" si="154">E149+H149+K149+N149</f>
        <v>4</v>
      </c>
      <c r="R149" s="17">
        <f>G149+J149+M149+P149</f>
        <v>4091</v>
      </c>
      <c r="S149" s="136"/>
    </row>
    <row r="150" spans="1:59" x14ac:dyDescent="0.3">
      <c r="A150" s="28" t="s">
        <v>90</v>
      </c>
      <c r="B150" s="15"/>
      <c r="C150" s="1" t="s">
        <v>115</v>
      </c>
      <c r="D150" s="63" t="s">
        <v>174</v>
      </c>
      <c r="E150" s="116">
        <v>1</v>
      </c>
      <c r="F150" s="129">
        <v>6100</v>
      </c>
      <c r="G150" s="128">
        <f t="shared" si="148"/>
        <v>6100</v>
      </c>
      <c r="H150" s="116">
        <v>1</v>
      </c>
      <c r="I150" s="129">
        <v>6100</v>
      </c>
      <c r="J150" s="129">
        <f t="shared" si="149"/>
        <v>6100</v>
      </c>
      <c r="K150" s="116">
        <v>1</v>
      </c>
      <c r="L150" s="129">
        <f t="shared" si="150"/>
        <v>6283</v>
      </c>
      <c r="M150" s="128">
        <f t="shared" si="151"/>
        <v>6283</v>
      </c>
      <c r="N150" s="116">
        <v>1</v>
      </c>
      <c r="O150" s="129">
        <f t="shared" si="152"/>
        <v>6471.49</v>
      </c>
      <c r="P150" s="25">
        <f t="shared" si="153"/>
        <v>6471</v>
      </c>
      <c r="Q150" s="39">
        <f t="shared" si="154"/>
        <v>4</v>
      </c>
      <c r="R150" s="17">
        <f>G150+J150+M150+P150</f>
        <v>24954</v>
      </c>
      <c r="S150" s="136"/>
    </row>
    <row r="151" spans="1:59" x14ac:dyDescent="0.3">
      <c r="A151" s="28" t="s">
        <v>193</v>
      </c>
      <c r="B151" s="15"/>
      <c r="C151" s="1" t="s">
        <v>115</v>
      </c>
      <c r="D151" s="63" t="s">
        <v>174</v>
      </c>
      <c r="E151" s="116">
        <v>0</v>
      </c>
      <c r="F151" s="129">
        <v>14100</v>
      </c>
      <c r="G151" s="128">
        <f t="shared" si="148"/>
        <v>0</v>
      </c>
      <c r="H151" s="116">
        <v>0</v>
      </c>
      <c r="I151" s="129">
        <v>14100</v>
      </c>
      <c r="J151" s="129">
        <f t="shared" si="149"/>
        <v>0</v>
      </c>
      <c r="K151" s="116">
        <v>0</v>
      </c>
      <c r="L151" s="129">
        <f t="shared" si="150"/>
        <v>14523</v>
      </c>
      <c r="M151" s="128">
        <f t="shared" si="151"/>
        <v>0</v>
      </c>
      <c r="N151" s="116">
        <v>0</v>
      </c>
      <c r="O151" s="129">
        <f t="shared" si="152"/>
        <v>14958.69</v>
      </c>
      <c r="P151" s="25">
        <f t="shared" si="153"/>
        <v>0</v>
      </c>
      <c r="Q151" s="39">
        <f t="shared" si="154"/>
        <v>0</v>
      </c>
      <c r="R151" s="17">
        <f>G151+J151+M151+P151</f>
        <v>0</v>
      </c>
      <c r="S151" s="136"/>
    </row>
    <row r="152" spans="1:59" x14ac:dyDescent="0.3">
      <c r="A152" s="28" t="s">
        <v>194</v>
      </c>
      <c r="B152" s="15"/>
      <c r="C152" s="1" t="s">
        <v>115</v>
      </c>
      <c r="D152" s="63" t="s">
        <v>174</v>
      </c>
      <c r="E152" s="116">
        <v>1</v>
      </c>
      <c r="F152" s="129">
        <v>14100</v>
      </c>
      <c r="G152" s="128">
        <f t="shared" ref="G152" si="155">ROUND((+E152*F152),0)</f>
        <v>14100</v>
      </c>
      <c r="H152" s="116">
        <v>1</v>
      </c>
      <c r="I152" s="129">
        <v>14100</v>
      </c>
      <c r="J152" s="129">
        <f t="shared" ref="J152" si="156">ROUND((+H152*I152),0)</f>
        <v>14100</v>
      </c>
      <c r="K152" s="116">
        <v>1</v>
      </c>
      <c r="L152" s="129">
        <f t="shared" ref="L152" si="157">I152*(1+$B$10)</f>
        <v>14523</v>
      </c>
      <c r="M152" s="128">
        <f t="shared" ref="M152" si="158">ROUND((+K152*L152),0)</f>
        <v>14523</v>
      </c>
      <c r="N152" s="116">
        <v>1</v>
      </c>
      <c r="O152" s="129">
        <f t="shared" ref="O152" si="159">L152*(1+$B$10)</f>
        <v>14958.69</v>
      </c>
      <c r="P152" s="25">
        <f t="shared" ref="P152" si="160">ROUND((+N152*O152),0)</f>
        <v>14959</v>
      </c>
      <c r="Q152" s="39">
        <f t="shared" ref="Q152" si="161">E152+H152+K152+N152</f>
        <v>4</v>
      </c>
      <c r="R152" s="17">
        <f>G152+J152+M152+P152</f>
        <v>57682</v>
      </c>
      <c r="S152" s="136"/>
    </row>
    <row r="153" spans="1:59" x14ac:dyDescent="0.3">
      <c r="A153" s="28" t="s">
        <v>91</v>
      </c>
      <c r="B153" s="15"/>
      <c r="C153" s="1" t="s">
        <v>115</v>
      </c>
      <c r="D153" s="63" t="s">
        <v>174</v>
      </c>
      <c r="E153" s="116">
        <v>1</v>
      </c>
      <c r="F153" s="129">
        <v>8400</v>
      </c>
      <c r="G153" s="128">
        <f t="shared" si="148"/>
        <v>8400</v>
      </c>
      <c r="H153" s="116">
        <v>1</v>
      </c>
      <c r="I153" s="129">
        <v>8400</v>
      </c>
      <c r="J153" s="129">
        <f t="shared" si="149"/>
        <v>8400</v>
      </c>
      <c r="K153" s="116">
        <v>1</v>
      </c>
      <c r="L153" s="129">
        <f t="shared" si="150"/>
        <v>8652</v>
      </c>
      <c r="M153" s="128">
        <f t="shared" si="151"/>
        <v>8652</v>
      </c>
      <c r="N153" s="116">
        <v>1</v>
      </c>
      <c r="O153" s="129">
        <f t="shared" si="152"/>
        <v>8911.56</v>
      </c>
      <c r="P153" s="25">
        <f t="shared" si="153"/>
        <v>8912</v>
      </c>
      <c r="Q153" s="39">
        <f t="shared" si="154"/>
        <v>4</v>
      </c>
      <c r="R153" s="17">
        <f>G153+J153+M153+P153</f>
        <v>34364</v>
      </c>
      <c r="S153" s="136"/>
    </row>
    <row r="154" spans="1:59" x14ac:dyDescent="0.3">
      <c r="A154" s="30"/>
      <c r="B154" s="3"/>
      <c r="C154" s="3"/>
      <c r="D154" s="65"/>
      <c r="E154" s="50"/>
      <c r="F154" s="17"/>
      <c r="G154" s="54"/>
      <c r="H154" s="41"/>
      <c r="I154" s="17"/>
      <c r="J154" s="29"/>
      <c r="K154" s="50"/>
      <c r="L154" s="17"/>
      <c r="M154" s="54"/>
      <c r="N154" s="50"/>
      <c r="O154" s="17"/>
      <c r="P154" s="54"/>
      <c r="Q154" s="39"/>
      <c r="R154" s="17" t="s">
        <v>4</v>
      </c>
      <c r="S154" s="136"/>
    </row>
    <row r="155" spans="1:59" x14ac:dyDescent="0.3">
      <c r="A155" s="96" t="s">
        <v>166</v>
      </c>
      <c r="B155" s="3"/>
      <c r="C155" s="3"/>
      <c r="D155" s="65"/>
      <c r="E155" s="50"/>
      <c r="F155" s="17"/>
      <c r="G155" s="35">
        <f>SUM(G129:G154)</f>
        <v>33600</v>
      </c>
      <c r="H155" s="41"/>
      <c r="I155" s="17"/>
      <c r="J155" s="17">
        <f>SUM(J129:J154)</f>
        <v>39275</v>
      </c>
      <c r="K155" s="50"/>
      <c r="L155" s="17"/>
      <c r="M155" s="35">
        <f>SUM(M129:M154)</f>
        <v>40454</v>
      </c>
      <c r="N155" s="50"/>
      <c r="O155" s="17"/>
      <c r="P155" s="35">
        <f>SUM(P129:P154)</f>
        <v>41667</v>
      </c>
      <c r="Q155" s="39"/>
      <c r="R155" s="17">
        <f>G155+J155+M155+P155</f>
        <v>154996</v>
      </c>
      <c r="S155" s="136">
        <f>SUM(R129:R153)</f>
        <v>154996</v>
      </c>
    </row>
    <row r="156" spans="1:59" x14ac:dyDescent="0.3">
      <c r="A156" s="30"/>
      <c r="B156" s="3"/>
      <c r="C156" s="3"/>
      <c r="D156" s="65"/>
      <c r="E156" s="50"/>
      <c r="F156" s="17"/>
      <c r="G156" s="35"/>
      <c r="H156" s="41"/>
      <c r="I156" s="17"/>
      <c r="J156" s="17"/>
      <c r="K156" s="50"/>
      <c r="L156" s="17"/>
      <c r="M156" s="35"/>
      <c r="N156" s="50"/>
      <c r="O156" s="17"/>
      <c r="P156" s="35"/>
      <c r="Q156" s="39"/>
      <c r="R156" s="17"/>
      <c r="S156" s="136"/>
    </row>
    <row r="157" spans="1:59" s="4" customFormat="1" ht="16.2" thickBot="1" x14ac:dyDescent="0.35">
      <c r="A157" s="34" t="s">
        <v>50</v>
      </c>
      <c r="B157" s="22"/>
      <c r="C157" s="22"/>
      <c r="D157" s="66"/>
      <c r="E157" s="51"/>
      <c r="F157" s="23"/>
      <c r="G157" s="33">
        <f>G103+G114+G125+G155</f>
        <v>33600</v>
      </c>
      <c r="H157" s="42"/>
      <c r="I157" s="23"/>
      <c r="J157" s="23">
        <f>J103+J114+J125+J155</f>
        <v>76955</v>
      </c>
      <c r="K157" s="51"/>
      <c r="L157" s="23"/>
      <c r="M157" s="33">
        <f>M103+M114+M125+M155</f>
        <v>59798</v>
      </c>
      <c r="N157" s="51"/>
      <c r="O157" s="23"/>
      <c r="P157" s="33">
        <f>P103+P114+P125+P155</f>
        <v>67425</v>
      </c>
      <c r="Q157" s="22"/>
      <c r="R157" s="23">
        <f>G157+J157+M157+P157</f>
        <v>237778</v>
      </c>
      <c r="S157" s="136">
        <f>R103+R114+R125+R155</f>
        <v>237778</v>
      </c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s="4" customFormat="1" ht="16.2" thickTop="1" x14ac:dyDescent="0.3">
      <c r="A158" s="30"/>
      <c r="B158" s="3"/>
      <c r="C158" s="3"/>
      <c r="D158" s="65"/>
      <c r="E158" s="50"/>
      <c r="F158" s="17"/>
      <c r="G158" s="35"/>
      <c r="H158" s="41"/>
      <c r="I158" s="17"/>
      <c r="J158" s="17"/>
      <c r="K158" s="50"/>
      <c r="L158" s="17"/>
      <c r="M158" s="35"/>
      <c r="N158" s="50"/>
      <c r="O158" s="17"/>
      <c r="P158" s="35"/>
      <c r="Q158" s="3"/>
      <c r="R158" s="17"/>
      <c r="S158" s="136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s="4" customFormat="1" x14ac:dyDescent="0.3">
      <c r="A159" s="30" t="s">
        <v>52</v>
      </c>
      <c r="B159" s="1"/>
      <c r="C159" s="1"/>
      <c r="D159" s="63"/>
      <c r="E159" s="40"/>
      <c r="F159" s="16"/>
      <c r="G159" s="35">
        <f>G47+G52+G78+G84+G89+G157</f>
        <v>33600</v>
      </c>
      <c r="H159" s="41"/>
      <c r="I159" s="17"/>
      <c r="J159" s="35">
        <f>J47+J52+J78+J84+J89+J157</f>
        <v>138950</v>
      </c>
      <c r="K159" s="50"/>
      <c r="L159" s="17"/>
      <c r="M159" s="35">
        <f>M47+M52+M78+M84+M89+M157</f>
        <v>120296</v>
      </c>
      <c r="N159" s="50"/>
      <c r="O159" s="17"/>
      <c r="P159" s="35">
        <f>P47+P52+P78+P84+P89+P157</f>
        <v>133608</v>
      </c>
      <c r="Q159" s="3"/>
      <c r="R159" s="35">
        <f>R47+R52+R78+R84+R89+R157</f>
        <v>426454</v>
      </c>
      <c r="S159" s="136">
        <f>G159+J159+M159+P159</f>
        <v>426454</v>
      </c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s="4" customFormat="1" ht="16.2" thickBot="1" x14ac:dyDescent="0.35">
      <c r="A160" s="34"/>
      <c r="B160" s="22"/>
      <c r="C160" s="22"/>
      <c r="D160" s="66"/>
      <c r="E160" s="51"/>
      <c r="F160" s="23"/>
      <c r="G160" s="33"/>
      <c r="H160" s="42"/>
      <c r="I160" s="23"/>
      <c r="J160" s="23"/>
      <c r="K160" s="51"/>
      <c r="L160" s="23"/>
      <c r="M160" s="33"/>
      <c r="N160" s="51"/>
      <c r="O160" s="23"/>
      <c r="P160" s="33"/>
      <c r="Q160" s="22" t="s">
        <v>4</v>
      </c>
      <c r="R160" s="23"/>
      <c r="S160" s="13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s="4" customFormat="1" ht="16.2" thickTop="1" x14ac:dyDescent="0.3">
      <c r="A161" s="48"/>
      <c r="B161" s="1"/>
      <c r="C161" s="1"/>
      <c r="D161" s="63"/>
      <c r="E161" s="40"/>
      <c r="F161" s="16"/>
      <c r="G161" s="25"/>
      <c r="H161" s="36"/>
      <c r="I161" s="16"/>
      <c r="J161" s="16"/>
      <c r="K161" s="40"/>
      <c r="L161" s="16"/>
      <c r="M161" s="25"/>
      <c r="N161" s="40"/>
      <c r="O161" s="16"/>
      <c r="P161" s="25"/>
      <c r="Q161" s="3"/>
      <c r="R161" s="16"/>
      <c r="S161" s="13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s="4" customFormat="1" x14ac:dyDescent="0.3">
      <c r="A162" s="30" t="s">
        <v>21</v>
      </c>
      <c r="B162" s="1"/>
      <c r="C162" s="117"/>
      <c r="D162" s="161"/>
      <c r="E162" s="40"/>
      <c r="F162" s="16"/>
      <c r="G162" s="35"/>
      <c r="H162" s="41"/>
      <c r="I162" s="17"/>
      <c r="J162" s="35"/>
      <c r="K162" s="50"/>
      <c r="L162" s="17"/>
      <c r="M162" s="35"/>
      <c r="N162" s="50"/>
      <c r="O162" s="17"/>
      <c r="P162" s="35"/>
      <c r="Q162" s="3"/>
      <c r="R162" s="35"/>
      <c r="S162" s="13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s="4" customFormat="1" x14ac:dyDescent="0.3">
      <c r="A163" s="30"/>
      <c r="B163" s="1"/>
      <c r="C163" s="117"/>
      <c r="D163" s="79"/>
      <c r="E163" s="40"/>
      <c r="F163" s="16"/>
      <c r="G163" s="35"/>
      <c r="H163" s="41"/>
      <c r="I163" s="17"/>
      <c r="J163" s="17"/>
      <c r="K163" s="50"/>
      <c r="L163" s="17"/>
      <c r="M163" s="35"/>
      <c r="N163" s="50"/>
      <c r="O163" s="17"/>
      <c r="P163" s="35"/>
      <c r="Q163" s="3"/>
      <c r="R163" s="17"/>
      <c r="S163" s="13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s="4" customFormat="1" x14ac:dyDescent="0.3">
      <c r="A164" s="90" t="s">
        <v>167</v>
      </c>
      <c r="B164" s="1"/>
      <c r="C164" s="117"/>
      <c r="D164" s="79">
        <f>$B$9</f>
        <v>0.12</v>
      </c>
      <c r="E164" s="40"/>
      <c r="F164" s="16"/>
      <c r="G164" s="35">
        <f>(G$45+G$89+G$114+G$125+G$155)*$D$164</f>
        <v>4032</v>
      </c>
      <c r="H164" s="41"/>
      <c r="I164" s="17"/>
      <c r="J164" s="35">
        <f>(J$45+J$89+J$114+J$125+J$155)*$D$164</f>
        <v>12621</v>
      </c>
      <c r="K164" s="50"/>
      <c r="L164" s="17"/>
      <c r="M164" s="35">
        <f>(M$45+M$89+M$114+M$125+M$155)*$D$164</f>
        <v>10656.48</v>
      </c>
      <c r="N164" s="50"/>
      <c r="O164" s="17"/>
      <c r="P164" s="35">
        <f>(P$45+P$89+P$114+P$125+P$155)*$D$164</f>
        <v>10975.8</v>
      </c>
      <c r="Q164" s="3"/>
      <c r="R164" s="17">
        <f>G164+J164+M164+P164</f>
        <v>38285.279999999999</v>
      </c>
      <c r="S164" s="13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s="4" customFormat="1" x14ac:dyDescent="0.3">
      <c r="A165" s="90" t="s">
        <v>158</v>
      </c>
      <c r="B165" s="1"/>
      <c r="C165" s="117" t="s">
        <v>116</v>
      </c>
      <c r="D165" s="79">
        <f>$B$8</f>
        <v>0.17499999999999999</v>
      </c>
      <c r="E165" s="40"/>
      <c r="F165" s="16"/>
      <c r="G165" s="35">
        <f>(G$159+G$164)*$D$165</f>
        <v>6585.5999999999995</v>
      </c>
      <c r="H165" s="41"/>
      <c r="I165" s="17"/>
      <c r="J165" s="35">
        <f>(J$159+J$164)*$D$165</f>
        <v>26524.924999999999</v>
      </c>
      <c r="K165" s="50"/>
      <c r="L165" s="17"/>
      <c r="M165" s="35">
        <f>(M$159+M$164)*$D$165</f>
        <v>22916.683999999997</v>
      </c>
      <c r="N165" s="50"/>
      <c r="O165" s="17"/>
      <c r="P165" s="35">
        <f>(P$159+P$164)*$D$165</f>
        <v>25302.164999999997</v>
      </c>
      <c r="Q165" s="3"/>
      <c r="R165" s="17">
        <f>G165+J165+M165+P165</f>
        <v>81329.373999999996</v>
      </c>
      <c r="S165" s="13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s="4" customFormat="1" x14ac:dyDescent="0.3">
      <c r="A166" s="90"/>
      <c r="B166" s="1"/>
      <c r="C166" s="117"/>
      <c r="D166" s="79"/>
      <c r="E166" s="40"/>
      <c r="F166" s="16"/>
      <c r="G166" s="35"/>
      <c r="H166" s="41"/>
      <c r="I166" s="17"/>
      <c r="J166" s="17"/>
      <c r="K166" s="50"/>
      <c r="L166" s="17"/>
      <c r="M166" s="35"/>
      <c r="N166" s="50"/>
      <c r="O166" s="17"/>
      <c r="P166" s="35"/>
      <c r="Q166" s="3"/>
      <c r="R166" s="17"/>
      <c r="S166" s="13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s="4" customFormat="1" ht="16.2" thickBot="1" x14ac:dyDescent="0.35">
      <c r="A167" s="34" t="s">
        <v>168</v>
      </c>
      <c r="B167" s="22"/>
      <c r="C167" s="22"/>
      <c r="D167" s="66"/>
      <c r="E167" s="51"/>
      <c r="F167" s="23"/>
      <c r="G167" s="150">
        <f>SUM(G164:G165)</f>
        <v>10617.599999999999</v>
      </c>
      <c r="H167" s="151"/>
      <c r="I167" s="152"/>
      <c r="J167" s="150">
        <f>SUM(J164:J165)</f>
        <v>39145.925000000003</v>
      </c>
      <c r="K167" s="153"/>
      <c r="L167" s="152"/>
      <c r="M167" s="150">
        <f>SUM(M164:M165)</f>
        <v>33573.163999999997</v>
      </c>
      <c r="N167" s="153"/>
      <c r="O167" s="152"/>
      <c r="P167" s="150">
        <f>SUM(P164:P165)</f>
        <v>36277.964999999997</v>
      </c>
      <c r="Q167" s="154"/>
      <c r="R167" s="150">
        <f>SUM(R164:R165)</f>
        <v>119614.65399999999</v>
      </c>
      <c r="S167" s="136">
        <f>G167+J167+M167+P167</f>
        <v>119614.65399999999</v>
      </c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s="4" customFormat="1" ht="16.2" thickTop="1" x14ac:dyDescent="0.3">
      <c r="A168" s="30"/>
      <c r="B168" s="3"/>
      <c r="C168" s="3"/>
      <c r="D168" s="65"/>
      <c r="E168" s="50"/>
      <c r="F168" s="17"/>
      <c r="G168" s="35"/>
      <c r="H168" s="41"/>
      <c r="I168" s="17"/>
      <c r="J168" s="17"/>
      <c r="K168" s="50"/>
      <c r="L168" s="17"/>
      <c r="M168" s="35"/>
      <c r="N168" s="50"/>
      <c r="O168" s="17"/>
      <c r="P168" s="35"/>
      <c r="Q168" s="3"/>
      <c r="R168" s="17"/>
      <c r="S168" s="136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s="4" customFormat="1" x14ac:dyDescent="0.3">
      <c r="A169" s="30" t="s">
        <v>53</v>
      </c>
      <c r="B169" s="3"/>
      <c r="C169" s="3"/>
      <c r="D169" s="65"/>
      <c r="E169" s="50"/>
      <c r="F169" s="17"/>
      <c r="G169" s="35">
        <f>G159+G167</f>
        <v>44217.599999999999</v>
      </c>
      <c r="H169" s="41"/>
      <c r="I169" s="17"/>
      <c r="J169" s="17">
        <f>J159+J167</f>
        <v>178095.92499999999</v>
      </c>
      <c r="K169" s="50"/>
      <c r="L169" s="17"/>
      <c r="M169" s="35">
        <f>M159+M167</f>
        <v>153869.16399999999</v>
      </c>
      <c r="N169" s="50"/>
      <c r="O169" s="17"/>
      <c r="P169" s="35">
        <f>P159+P167</f>
        <v>169885.965</v>
      </c>
      <c r="Q169" s="3"/>
      <c r="R169" s="17">
        <f>R159+R167</f>
        <v>546068.65399999998</v>
      </c>
      <c r="S169" s="136">
        <f>SUM(G169:P169)</f>
        <v>546068.65399999998</v>
      </c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s="4" customFormat="1" ht="16.2" thickBot="1" x14ac:dyDescent="0.35">
      <c r="A170" s="94" t="s">
        <v>4</v>
      </c>
      <c r="B170" s="12"/>
      <c r="C170" s="12"/>
      <c r="D170" s="64"/>
      <c r="E170" s="53"/>
      <c r="F170" s="19"/>
      <c r="G170" s="58"/>
      <c r="H170" s="45"/>
      <c r="I170" s="19"/>
      <c r="J170" s="31"/>
      <c r="K170" s="53"/>
      <c r="L170" s="19"/>
      <c r="M170" s="58"/>
      <c r="N170" s="53"/>
      <c r="O170" s="19"/>
      <c r="P170" s="58"/>
      <c r="Q170" s="22"/>
      <c r="R170" s="31"/>
      <c r="S170" s="13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</row>
    <row r="171" spans="1:59" s="4" customFormat="1" ht="16.2" thickTop="1" x14ac:dyDescent="0.3">
      <c r="A171" s="1" t="s">
        <v>170</v>
      </c>
      <c r="B171" s="1"/>
      <c r="C171" s="78"/>
      <c r="D171" s="78"/>
      <c r="E171" s="36"/>
      <c r="F171" s="1"/>
      <c r="G171" s="1"/>
      <c r="H171" s="36"/>
      <c r="I171" s="1"/>
      <c r="J171" s="1"/>
      <c r="K171" s="36"/>
      <c r="L171" s="1"/>
      <c r="M171" s="1"/>
      <c r="N171" s="36"/>
      <c r="O171" s="1"/>
      <c r="P171" s="1"/>
      <c r="Q171" s="3"/>
      <c r="R171" s="3"/>
      <c r="S171" s="136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1:59" s="1" customFormat="1" x14ac:dyDescent="0.3">
      <c r="E172" s="36"/>
      <c r="H172" s="36"/>
      <c r="K172" s="36"/>
      <c r="N172" s="36"/>
      <c r="Q172" s="3"/>
      <c r="R172" s="3"/>
      <c r="S172" s="136"/>
    </row>
    <row r="173" spans="1:59" s="1" customFormat="1" x14ac:dyDescent="0.3">
      <c r="E173" s="36"/>
      <c r="H173" s="36"/>
      <c r="K173" s="36"/>
      <c r="N173" s="36"/>
      <c r="Q173" s="3"/>
      <c r="R173" s="3"/>
      <c r="S173" s="136"/>
    </row>
    <row r="174" spans="1:59" s="1" customFormat="1" x14ac:dyDescent="0.3">
      <c r="E174" s="36"/>
      <c r="H174" s="36"/>
      <c r="K174" s="36"/>
      <c r="N174" s="36"/>
      <c r="Q174" s="3"/>
      <c r="R174" s="3"/>
      <c r="S174" s="136"/>
    </row>
    <row r="175" spans="1:59" x14ac:dyDescent="0.3">
      <c r="S175" s="136"/>
    </row>
  </sheetData>
  <mergeCells count="15">
    <mergeCell ref="E7:G7"/>
    <mergeCell ref="F12:G12"/>
    <mergeCell ref="E16:J16"/>
    <mergeCell ref="K16:M16"/>
    <mergeCell ref="N16:P16"/>
    <mergeCell ref="F9:G9"/>
    <mergeCell ref="Q18:R18"/>
    <mergeCell ref="F8:G8"/>
    <mergeCell ref="F10:G10"/>
    <mergeCell ref="F11:G11"/>
    <mergeCell ref="E19:G19"/>
    <mergeCell ref="H19:J19"/>
    <mergeCell ref="K19:M19"/>
    <mergeCell ref="N19:P19"/>
    <mergeCell ref="Q19:R19"/>
  </mergeCells>
  <dataValidations count="2">
    <dataValidation type="list" allowBlank="1" showInputMessage="1" showErrorMessage="1" sqref="B13:B15" xr:uid="{6867408A-88FB-4E92-8709-CE7A17382BF5}">
      <formula1>"Yes, No"</formula1>
    </dataValidation>
    <dataValidation type="list" allowBlank="1" showInputMessage="1" showErrorMessage="1" sqref="B11" xr:uid="{B65D7F01-921A-45F8-9997-5824E09D5C11}">
      <formula1>"1, 2"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9p6 xmlns="0bd7d161-68aa-4378-85c6-89c84e437c65" xsi:nil="true"/>
    <ddqa xmlns="0bd7d161-68aa-4378-85c6-89c84e437c65" xsi:nil="true"/>
    <Status xmlns="0bd7d161-68aa-4378-85c6-89c84e437c65" xsi:nil="true"/>
    <r7ph xmlns="0bd7d161-68aa-4378-85c6-89c84e437c65" xsi:nil="true"/>
    <Type_x0020_l xmlns="0bd7d161-68aa-4378-85c6-89c84e437c65" xsi:nil="true"/>
    <SharedWithUsers xmlns="6b9857c5-041e-4fc1-9d7d-8b03587acb27">
      <UserInfo>
        <DisplayName>Natalie Davidson</DisplayName>
        <AccountId>77</AccountId>
        <AccountType/>
      </UserInfo>
      <UserInfo>
        <DisplayName>Stephen Poyer</DisplayName>
        <AccountId>17</AccountId>
        <AccountType/>
      </UserInfo>
      <UserInfo>
        <DisplayName>Justin Rahariniaina</DisplayName>
        <AccountId>46</AccountId>
        <AccountType/>
      </UserInfo>
    </SharedWithUsers>
    <lcf76f155ced4ddcb4097134ff3c332f xmlns="0bd7d161-68aa-4378-85c6-89c84e437c65">
      <Terms xmlns="http://schemas.microsoft.com/office/infopath/2007/PartnerControls"/>
    </lcf76f155ced4ddcb4097134ff3c332f>
    <TaxCatchAll xmlns="2b04e3bf-eb77-48e0-9993-e01b67b1c3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CA9FA2906D49A87928E07A90BDE1" ma:contentTypeVersion="23" ma:contentTypeDescription="Create a new document." ma:contentTypeScope="" ma:versionID="9cf16dd37cecb902a90251654e453e38">
  <xsd:schema xmlns:xsd="http://www.w3.org/2001/XMLSchema" xmlns:xs="http://www.w3.org/2001/XMLSchema" xmlns:p="http://schemas.microsoft.com/office/2006/metadata/properties" xmlns:ns2="0bd7d161-68aa-4378-85c6-89c84e437c65" xmlns:ns3="6b9857c5-041e-4fc1-9d7d-8b03587acb27" xmlns:ns4="2b04e3bf-eb77-48e0-9993-e01b67b1c33a" targetNamespace="http://schemas.microsoft.com/office/2006/metadata/properties" ma:root="true" ma:fieldsID="e7212ad4fb060858d805ed9179d2302c" ns2:_="" ns3:_="" ns4:_="">
    <xsd:import namespace="0bd7d161-68aa-4378-85c6-89c84e437c65"/>
    <xsd:import namespace="6b9857c5-041e-4fc1-9d7d-8b03587acb27"/>
    <xsd:import namespace="2b04e3bf-eb77-48e0-9993-e01b67b1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Type_x0020_l" minOccurs="0"/>
                <xsd:element ref="ns2:Status" minOccurs="0"/>
                <xsd:element ref="ns2:v9p6" minOccurs="0"/>
                <xsd:element ref="ns2:ddqa" minOccurs="0"/>
                <xsd:element ref="ns2:r7ph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7d161-68aa-4378-85c6-89c84e437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Type_x0020_l" ma:index="20" nillable="true" ma:displayName="Type" ma:description="Budget&#10;Consultant&#10;IRB&#10;Labor&#10;NXP/Equipment&#10;Subcontract&#10;Travel&#10;Waiver - Allowances&#10;Waiver - CDR/FSN&#10;Waiver - Increase" ma:internalName="Type_x0020_l">
      <xsd:simpleType>
        <xsd:restriction base="dms:Note">
          <xsd:maxLength value="255"/>
        </xsd:restriction>
      </xsd:simpleType>
    </xsd:element>
    <xsd:element name="Status" ma:index="21" nillable="true" ma:displayName="Status" ma:format="Dropdown" ma:internalName="Status">
      <xsd:simpleType>
        <xsd:restriction base="dms:Choice">
          <xsd:enumeration value="Preparing"/>
          <xsd:enumeration value="Pending"/>
          <xsd:enumeration value="Approved"/>
          <xsd:enumeration value="Denied"/>
          <xsd:enumeration value="Cancelled"/>
        </xsd:restriction>
      </xsd:simpleType>
    </xsd:element>
    <xsd:element name="v9p6" ma:index="22" nillable="true" ma:displayName="Date and Time" ma:internalName="v9p6">
      <xsd:simpleType>
        <xsd:restriction base="dms:DateTime"/>
      </xsd:simpleType>
    </xsd:element>
    <xsd:element name="ddqa" ma:index="23" nillable="true" ma:displayName="Request" ma:internalName="ddqa">
      <xsd:simpleType>
        <xsd:restriction base="dms:Text"/>
      </xsd:simpleType>
    </xsd:element>
    <xsd:element name="r7ph" ma:index="24" nillable="true" ma:displayName="Employee or Consultant Name" ma:internalName="r7ph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5be66e25-6253-4f8b-9755-5684a1ad7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857c5-041e-4fc1-9d7d-8b03587acb2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e3bf-eb77-48e0-9993-e01b67b1c33a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5b085eb6-aa09-4d8e-acda-07d90d1c8499}" ma:internalName="TaxCatchAll" ma:showField="CatchAllData" ma:web="6b9857c5-041e-4fc1-9d7d-8b03587ac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B25686-092C-4452-BF59-F0ECE6DFF1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235036-54F0-4043-8328-5C78B958F896}">
  <ds:schemaRefs>
    <ds:schemaRef ds:uri="http://schemas.microsoft.com/office/2006/metadata/properties"/>
    <ds:schemaRef ds:uri="http://schemas.microsoft.com/office/infopath/2007/PartnerControls"/>
    <ds:schemaRef ds:uri="0bd7d161-68aa-4378-85c6-89c84e437c65"/>
    <ds:schemaRef ds:uri="6b9857c5-041e-4fc1-9d7d-8b03587acb27"/>
    <ds:schemaRef ds:uri="2b04e3bf-eb77-48e0-9993-e01b67b1c33a"/>
  </ds:schemaRefs>
</ds:datastoreItem>
</file>

<file path=customXml/itemProps3.xml><?xml version="1.0" encoding="utf-8"?>
<ds:datastoreItem xmlns:ds="http://schemas.openxmlformats.org/officeDocument/2006/customXml" ds:itemID="{F3898F29-7045-4FA8-B54E-0467BBDD7F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7d161-68aa-4378-85c6-89c84e437c65"/>
    <ds:schemaRef ds:uri="6b9857c5-041e-4fc1-9d7d-8b03587acb27"/>
    <ds:schemaRef ds:uri="2b04e3bf-eb77-48e0-9993-e01b67b1c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DM Budget - 2 Sites</vt:lpstr>
      <vt:lpstr>DM Budget - 3 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Moran</dc:creator>
  <cp:lastModifiedBy>Elisabeth Tyler</cp:lastModifiedBy>
  <cp:lastPrinted>2015-04-09T09:34:31Z</cp:lastPrinted>
  <dcterms:created xsi:type="dcterms:W3CDTF">2014-12-18T16:38:44Z</dcterms:created>
  <dcterms:modified xsi:type="dcterms:W3CDTF">2025-06-03T16:40:53Z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0x0101008542CA9FA2906D49A87928E07A90BDE1</vt:lpwstr>
  </property>
</Properties>
</file>